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mddcsan\Shared\Planning\Forward Planning Accessible\Cabinet 4th October 2022\"/>
    </mc:Choice>
  </mc:AlternateContent>
  <bookViews>
    <workbookView xWindow="0" yWindow="0" windowWidth="19200" windowHeight="6180"/>
  </bookViews>
  <sheets>
    <sheet name="Cover" sheetId="20" r:id="rId1"/>
    <sheet name="INPUT" sheetId="12" r:id="rId2"/>
    <sheet name="Lists" sheetId="19" state="hidden" r:id="rId3"/>
    <sheet name="Part L" sheetId="1" state="hidden" r:id="rId4"/>
    <sheet name="C&amp;B" sheetId="6" state="hidden" r:id="rId5"/>
    <sheet name="SAP" sheetId="11" state="hidden" r:id="rId6"/>
    <sheet name="Detached" sheetId="10" state="hidden" r:id="rId7"/>
    <sheet name="Attached" sheetId="16" state="hidden" r:id="rId8"/>
    <sheet name="1BedFlat" sheetId="17" state="hidden" r:id="rId9"/>
    <sheet name="2BedFlat" sheetId="18" state="hidden" r:id="rId10"/>
    <sheet name="Embodied" sheetId="14" state="hidden" r:id="rId11"/>
    <sheet name="Projections" sheetId="15" state="hidden" r:id="rId12"/>
    <sheet name="OUTPUT" sheetId="13" r:id="rId13"/>
  </sheets>
  <definedNames>
    <definedName name="_xlnm.Print_Area" localSheetId="0">Cover!$A$1:$Q$47</definedName>
    <definedName name="_xlnm.Print_Area" localSheetId="1">INPUT!$A$1:$E$68</definedName>
    <definedName name="_xlnm.Print_Area" localSheetId="12">OUTPUT!$A$1:$P$44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0" i="11" l="1"/>
  <c r="D190" i="11"/>
  <c r="E190" i="11"/>
  <c r="F190" i="11"/>
  <c r="D189" i="11"/>
  <c r="E189" i="11"/>
  <c r="F189" i="11"/>
  <c r="C189" i="11"/>
  <c r="F18" i="6" l="1"/>
  <c r="G18" i="6"/>
  <c r="H18" i="6"/>
  <c r="I18" i="6"/>
  <c r="J18" i="6"/>
  <c r="E18" i="6"/>
  <c r="I77" i="6"/>
  <c r="C144" i="11"/>
  <c r="F147" i="11" l="1"/>
  <c r="C99" i="19"/>
  <c r="B53" i="19"/>
  <c r="B52" i="19"/>
  <c r="B51" i="19"/>
  <c r="B50" i="19"/>
  <c r="B49" i="19"/>
  <c r="B47" i="19"/>
  <c r="B46" i="19"/>
  <c r="B45" i="19"/>
  <c r="B44" i="19"/>
  <c r="B43" i="19"/>
  <c r="B41" i="19"/>
  <c r="B40" i="19"/>
  <c r="B39" i="19"/>
  <c r="B38" i="19"/>
  <c r="B37" i="19"/>
  <c r="B35" i="19"/>
  <c r="B34" i="19"/>
  <c r="B33" i="19"/>
  <c r="B32" i="19"/>
  <c r="B31" i="19"/>
  <c r="B30" i="19"/>
  <c r="B29" i="19"/>
  <c r="B27" i="19"/>
  <c r="B26" i="19"/>
  <c r="B25" i="19"/>
  <c r="B24" i="19"/>
  <c r="B23" i="19"/>
  <c r="B22" i="19"/>
  <c r="B21" i="19"/>
  <c r="B19" i="19"/>
  <c r="B18" i="19"/>
  <c r="B17" i="19"/>
  <c r="B16" i="19"/>
  <c r="B15" i="19"/>
  <c r="B14" i="19"/>
  <c r="B13" i="19"/>
  <c r="B11" i="19"/>
  <c r="B10" i="19"/>
  <c r="B9" i="19"/>
  <c r="B8" i="19"/>
  <c r="B7" i="19"/>
  <c r="B6" i="19"/>
  <c r="B5" i="19"/>
  <c r="C68" i="15" l="1"/>
  <c r="C90" i="15"/>
  <c r="D90" i="15" s="1"/>
  <c r="E90" i="15" s="1"/>
  <c r="F90" i="15" s="1"/>
  <c r="G90" i="15" s="1"/>
  <c r="H90" i="15" s="1"/>
  <c r="I90" i="15" s="1"/>
  <c r="J90" i="15" s="1"/>
  <c r="K90" i="15" s="1"/>
  <c r="L90" i="15" s="1"/>
  <c r="M90" i="15" s="1"/>
  <c r="N90" i="15" s="1"/>
  <c r="O90" i="15" s="1"/>
  <c r="P90" i="15" s="1"/>
  <c r="Q90" i="15" s="1"/>
  <c r="R90" i="15" s="1"/>
  <c r="S90" i="15" s="1"/>
  <c r="T90" i="15" s="1"/>
  <c r="U90" i="15" s="1"/>
  <c r="V90" i="15" s="1"/>
  <c r="W90" i="15" s="1"/>
  <c r="X90" i="15" s="1"/>
  <c r="Y90" i="15" s="1"/>
  <c r="Z90" i="15" s="1"/>
  <c r="AA90" i="15" s="1"/>
  <c r="AB90" i="15" s="1"/>
  <c r="AC90" i="15" s="1"/>
  <c r="AD90" i="15" s="1"/>
  <c r="AE90" i="15" s="1"/>
  <c r="AF90" i="15" s="1"/>
  <c r="AG90" i="15" s="1"/>
  <c r="AH90" i="15" s="1"/>
  <c r="AI90" i="15" s="1"/>
  <c r="AJ90" i="15" s="1"/>
  <c r="AK90" i="15" s="1"/>
  <c r="AL90" i="15" s="1"/>
  <c r="AM90" i="15" s="1"/>
  <c r="AN90" i="15" s="1"/>
  <c r="AO90" i="15" s="1"/>
  <c r="AP90" i="15" s="1"/>
  <c r="AQ90" i="15" s="1"/>
  <c r="AR90" i="15" s="1"/>
  <c r="AS90" i="15" s="1"/>
  <c r="AT90" i="15" s="1"/>
  <c r="AU90" i="15" s="1"/>
  <c r="AV90" i="15" s="1"/>
  <c r="AW90" i="15" s="1"/>
  <c r="AX90" i="15" s="1"/>
  <c r="AY90" i="15" s="1"/>
  <c r="AZ90" i="15" s="1"/>
  <c r="BA90" i="15" s="1"/>
  <c r="BB90" i="15" s="1"/>
  <c r="BC90" i="15" s="1"/>
  <c r="BD90" i="15" s="1"/>
  <c r="BE90" i="15" s="1"/>
  <c r="BF90" i="15" s="1"/>
  <c r="BG90" i="15" s="1"/>
  <c r="BH90" i="15" s="1"/>
  <c r="BI90" i="15" s="1"/>
  <c r="BJ90" i="15" s="1"/>
  <c r="BK90" i="15" s="1"/>
  <c r="C76" i="15"/>
  <c r="D76" i="15" s="1"/>
  <c r="E76" i="15" s="1"/>
  <c r="F76" i="15" s="1"/>
  <c r="G76" i="15" s="1"/>
  <c r="H76" i="15" s="1"/>
  <c r="I76" i="15" s="1"/>
  <c r="J76" i="15" s="1"/>
  <c r="K76" i="15" s="1"/>
  <c r="L76" i="15" s="1"/>
  <c r="M76" i="15" s="1"/>
  <c r="N76" i="15" s="1"/>
  <c r="O76" i="15" s="1"/>
  <c r="P76" i="15" s="1"/>
  <c r="Q76" i="15" s="1"/>
  <c r="R76" i="15" s="1"/>
  <c r="S76" i="15" s="1"/>
  <c r="T76" i="15" s="1"/>
  <c r="U76" i="15" s="1"/>
  <c r="V76" i="15" s="1"/>
  <c r="W76" i="15" s="1"/>
  <c r="X76" i="15" s="1"/>
  <c r="Y76" i="15" s="1"/>
  <c r="Z76" i="15" s="1"/>
  <c r="AA76" i="15" s="1"/>
  <c r="AB76" i="15" s="1"/>
  <c r="AC76" i="15" s="1"/>
  <c r="AD76" i="15" s="1"/>
  <c r="AE76" i="15" s="1"/>
  <c r="AF76" i="15" s="1"/>
  <c r="AG76" i="15" s="1"/>
  <c r="AH76" i="15" s="1"/>
  <c r="AI76" i="15" s="1"/>
  <c r="AJ76" i="15" s="1"/>
  <c r="AK76" i="15" s="1"/>
  <c r="AL76" i="15" s="1"/>
  <c r="AM76" i="15" s="1"/>
  <c r="AN76" i="15" s="1"/>
  <c r="AO76" i="15" s="1"/>
  <c r="AP76" i="15" s="1"/>
  <c r="AQ76" i="15" s="1"/>
  <c r="AR76" i="15" s="1"/>
  <c r="AS76" i="15" s="1"/>
  <c r="AT76" i="15" s="1"/>
  <c r="AU76" i="15" s="1"/>
  <c r="AV76" i="15" s="1"/>
  <c r="AW76" i="15" s="1"/>
  <c r="AX76" i="15" s="1"/>
  <c r="AY76" i="15" s="1"/>
  <c r="AZ76" i="15" s="1"/>
  <c r="BA76" i="15" s="1"/>
  <c r="BB76" i="15" s="1"/>
  <c r="BC76" i="15" s="1"/>
  <c r="BD76" i="15" s="1"/>
  <c r="BE76" i="15" s="1"/>
  <c r="BF76" i="15" s="1"/>
  <c r="BG76" i="15" s="1"/>
  <c r="BH76" i="15" s="1"/>
  <c r="BI76" i="15" s="1"/>
  <c r="BJ76" i="15" s="1"/>
  <c r="BK76" i="15" s="1"/>
  <c r="AL206" i="11"/>
  <c r="AM206" i="11" s="1"/>
  <c r="AN206" i="11" s="1"/>
  <c r="AO206" i="11" s="1"/>
  <c r="AP206" i="11" s="1"/>
  <c r="AQ206" i="11" s="1"/>
  <c r="AR206" i="11" s="1"/>
  <c r="AS206" i="11" s="1"/>
  <c r="AT206" i="11" s="1"/>
  <c r="AU206" i="11" s="1"/>
  <c r="AV206" i="11" s="1"/>
  <c r="AW206" i="11" s="1"/>
  <c r="AX206" i="11" s="1"/>
  <c r="AY206" i="11" s="1"/>
  <c r="AZ206" i="11" s="1"/>
  <c r="BA206" i="11" s="1"/>
  <c r="BB206" i="11" s="1"/>
  <c r="BC206" i="11" s="1"/>
  <c r="BD206" i="11" s="1"/>
  <c r="BE206" i="11" s="1"/>
  <c r="BF206" i="11" s="1"/>
  <c r="BG206" i="11" s="1"/>
  <c r="BH206" i="11" s="1"/>
  <c r="BI206" i="11" s="1"/>
  <c r="BJ206" i="11" s="1"/>
  <c r="BK206" i="11" s="1"/>
  <c r="BL206" i="11" s="1"/>
  <c r="BM206" i="11" s="1"/>
  <c r="BN206" i="11" s="1"/>
  <c r="BO206" i="11" s="1"/>
  <c r="BP206" i="11" s="1"/>
  <c r="BQ206" i="11" s="1"/>
  <c r="BR206" i="11" s="1"/>
  <c r="BS206" i="11" s="1"/>
  <c r="BT206" i="11" s="1"/>
  <c r="BU206" i="11" s="1"/>
  <c r="BV206" i="11" s="1"/>
  <c r="BW206" i="11" s="1"/>
  <c r="BX206" i="11" s="1"/>
  <c r="BY206" i="11" s="1"/>
  <c r="BZ206" i="11" s="1"/>
  <c r="CA206" i="11" s="1"/>
  <c r="CB206" i="11" s="1"/>
  <c r="CC206" i="11" s="1"/>
  <c r="CD206" i="11" s="1"/>
  <c r="CE206" i="11" s="1"/>
  <c r="CF206" i="11" s="1"/>
  <c r="CG206" i="11" s="1"/>
  <c r="CH206" i="11" s="1"/>
  <c r="CI206" i="11" s="1"/>
  <c r="CJ206" i="11" s="1"/>
  <c r="CK206" i="11" s="1"/>
  <c r="CL206" i="11" s="1"/>
  <c r="CM206" i="11" s="1"/>
  <c r="CN206" i="11" s="1"/>
  <c r="CO206" i="11" s="1"/>
  <c r="CP206" i="11" s="1"/>
  <c r="CQ206" i="11" s="1"/>
  <c r="CR206" i="11" s="1"/>
  <c r="CS206" i="11" s="1"/>
  <c r="CT206" i="11" s="1"/>
  <c r="CU206" i="11" s="1"/>
  <c r="CV206" i="11" s="1"/>
  <c r="CW206" i="11" s="1"/>
  <c r="CX206" i="11" s="1"/>
  <c r="AL207" i="11"/>
  <c r="AM207" i="11" s="1"/>
  <c r="AN207" i="11" s="1"/>
  <c r="AO207" i="11" s="1"/>
  <c r="AP207" i="11" s="1"/>
  <c r="AQ207" i="11" s="1"/>
  <c r="AR207" i="11" s="1"/>
  <c r="AS207" i="11" s="1"/>
  <c r="AT207" i="11" s="1"/>
  <c r="AU207" i="11" s="1"/>
  <c r="AV207" i="11" s="1"/>
  <c r="AW207" i="11" s="1"/>
  <c r="AX207" i="11" s="1"/>
  <c r="AY207" i="11" s="1"/>
  <c r="AZ207" i="11" s="1"/>
  <c r="BA207" i="11" s="1"/>
  <c r="BB207" i="11" s="1"/>
  <c r="BC207" i="11" s="1"/>
  <c r="BD207" i="11" s="1"/>
  <c r="BE207" i="11" s="1"/>
  <c r="BF207" i="11" s="1"/>
  <c r="BG207" i="11" s="1"/>
  <c r="BH207" i="11" s="1"/>
  <c r="BI207" i="11" s="1"/>
  <c r="BJ207" i="11" s="1"/>
  <c r="BK207" i="11" s="1"/>
  <c r="BL207" i="11" s="1"/>
  <c r="BM207" i="11" s="1"/>
  <c r="BN207" i="11" s="1"/>
  <c r="BO207" i="11" s="1"/>
  <c r="BP207" i="11" s="1"/>
  <c r="BQ207" i="11" s="1"/>
  <c r="BR207" i="11" s="1"/>
  <c r="BS207" i="11" s="1"/>
  <c r="BT207" i="11" s="1"/>
  <c r="BU207" i="11" s="1"/>
  <c r="BV207" i="11" s="1"/>
  <c r="BW207" i="11" s="1"/>
  <c r="BX207" i="11" s="1"/>
  <c r="BY207" i="11" s="1"/>
  <c r="BZ207" i="11" s="1"/>
  <c r="CA207" i="11" s="1"/>
  <c r="CB207" i="11" s="1"/>
  <c r="CC207" i="11" s="1"/>
  <c r="CD207" i="11" s="1"/>
  <c r="CE207" i="11" s="1"/>
  <c r="CF207" i="11" s="1"/>
  <c r="CG207" i="11" s="1"/>
  <c r="CH207" i="11" s="1"/>
  <c r="CI207" i="11" s="1"/>
  <c r="CJ207" i="11" s="1"/>
  <c r="CK207" i="11" s="1"/>
  <c r="CL207" i="11" s="1"/>
  <c r="CM207" i="11" s="1"/>
  <c r="CN207" i="11" s="1"/>
  <c r="CO207" i="11" s="1"/>
  <c r="CP207" i="11" s="1"/>
  <c r="CQ207" i="11" s="1"/>
  <c r="CR207" i="11" s="1"/>
  <c r="CS207" i="11" s="1"/>
  <c r="CT207" i="11" s="1"/>
  <c r="CU207" i="11" s="1"/>
  <c r="CV207" i="11" s="1"/>
  <c r="CW207" i="11" s="1"/>
  <c r="CX207" i="11" s="1"/>
  <c r="AL205" i="11"/>
  <c r="AM205" i="11" s="1"/>
  <c r="AN205" i="11" s="1"/>
  <c r="AO205" i="11" s="1"/>
  <c r="AP205" i="11" s="1"/>
  <c r="AQ205" i="11" s="1"/>
  <c r="AR205" i="11" s="1"/>
  <c r="AS205" i="11" s="1"/>
  <c r="AT205" i="11" s="1"/>
  <c r="AU205" i="11" s="1"/>
  <c r="AV205" i="11" s="1"/>
  <c r="AW205" i="11" s="1"/>
  <c r="AX205" i="11" s="1"/>
  <c r="AY205" i="11" s="1"/>
  <c r="AZ205" i="11" s="1"/>
  <c r="BA205" i="11" s="1"/>
  <c r="BB205" i="11" s="1"/>
  <c r="BC205" i="11" s="1"/>
  <c r="BD205" i="11" s="1"/>
  <c r="BE205" i="11" s="1"/>
  <c r="BF205" i="11" s="1"/>
  <c r="BG205" i="11" s="1"/>
  <c r="BH205" i="11" s="1"/>
  <c r="BI205" i="11" s="1"/>
  <c r="BJ205" i="11" s="1"/>
  <c r="BK205" i="11" s="1"/>
  <c r="BL205" i="11" s="1"/>
  <c r="BM205" i="11" s="1"/>
  <c r="BN205" i="11" s="1"/>
  <c r="BO205" i="11" s="1"/>
  <c r="BP205" i="11" s="1"/>
  <c r="BQ205" i="11" s="1"/>
  <c r="BR205" i="11" s="1"/>
  <c r="BS205" i="11" s="1"/>
  <c r="BT205" i="11" s="1"/>
  <c r="BU205" i="11" s="1"/>
  <c r="BV205" i="11" s="1"/>
  <c r="BW205" i="11" s="1"/>
  <c r="BX205" i="11" s="1"/>
  <c r="BY205" i="11" s="1"/>
  <c r="BZ205" i="11" s="1"/>
  <c r="CA205" i="11" s="1"/>
  <c r="CB205" i="11" s="1"/>
  <c r="CC205" i="11" s="1"/>
  <c r="CD205" i="11" s="1"/>
  <c r="CE205" i="11" s="1"/>
  <c r="CF205" i="11" s="1"/>
  <c r="CG205" i="11" s="1"/>
  <c r="CH205" i="11" s="1"/>
  <c r="CI205" i="11" s="1"/>
  <c r="CJ205" i="11" s="1"/>
  <c r="CK205" i="11" s="1"/>
  <c r="CL205" i="11" s="1"/>
  <c r="CM205" i="11" s="1"/>
  <c r="CN205" i="11" s="1"/>
  <c r="CO205" i="11" s="1"/>
  <c r="CP205" i="11" s="1"/>
  <c r="CQ205" i="11" s="1"/>
  <c r="CR205" i="11" s="1"/>
  <c r="CS205" i="11" s="1"/>
  <c r="CT205" i="11" s="1"/>
  <c r="CU205" i="11" s="1"/>
  <c r="CV205" i="11" s="1"/>
  <c r="CW205" i="11" s="1"/>
  <c r="CX205" i="11" s="1"/>
  <c r="C63" i="15"/>
  <c r="D63" i="15" s="1"/>
  <c r="X15" i="15"/>
  <c r="Y15" i="15"/>
  <c r="Z15" i="15"/>
  <c r="AA15" i="15"/>
  <c r="AB15" i="15"/>
  <c r="AC15" i="15"/>
  <c r="AD15" i="15"/>
  <c r="AE15" i="15"/>
  <c r="AF15" i="15"/>
  <c r="AG15" i="15"/>
  <c r="AH15" i="15"/>
  <c r="AI15" i="15"/>
  <c r="AJ15" i="15"/>
  <c r="AK15" i="15"/>
  <c r="AL15" i="15"/>
  <c r="AM15" i="15"/>
  <c r="AN15" i="15"/>
  <c r="AO15" i="15"/>
  <c r="AP15" i="15"/>
  <c r="AQ15" i="15"/>
  <c r="AR15" i="15"/>
  <c r="AS15" i="15"/>
  <c r="AT15" i="15"/>
  <c r="AU15" i="15"/>
  <c r="AV15" i="15"/>
  <c r="AW15" i="15"/>
  <c r="AX15" i="15"/>
  <c r="AY15" i="15"/>
  <c r="AZ15" i="15"/>
  <c r="BA15" i="15"/>
  <c r="BB15" i="15"/>
  <c r="BC15" i="15"/>
  <c r="BD15" i="15"/>
  <c r="BE15" i="15"/>
  <c r="BF15" i="15"/>
  <c r="BG15" i="15"/>
  <c r="BH15" i="15"/>
  <c r="BI15" i="15"/>
  <c r="BJ15" i="15"/>
  <c r="BK15" i="15"/>
  <c r="C5" i="15"/>
  <c r="D5" i="15" s="1"/>
  <c r="E5" i="15" s="1"/>
  <c r="F5" i="15" s="1"/>
  <c r="G5" i="15" s="1"/>
  <c r="H5" i="15" s="1"/>
  <c r="I5" i="15" s="1"/>
  <c r="J5" i="15" s="1"/>
  <c r="K5" i="15" s="1"/>
  <c r="L5" i="15" s="1"/>
  <c r="M5" i="15" s="1"/>
  <c r="N5" i="15" s="1"/>
  <c r="O5" i="15" s="1"/>
  <c r="P5" i="15" s="1"/>
  <c r="Q5" i="15" s="1"/>
  <c r="R5" i="15" s="1"/>
  <c r="S5" i="15" s="1"/>
  <c r="T5" i="15" s="1"/>
  <c r="U5" i="15" s="1"/>
  <c r="V5" i="15" s="1"/>
  <c r="W5" i="15" s="1"/>
  <c r="X5" i="15" s="1"/>
  <c r="Y5" i="15" s="1"/>
  <c r="Z5" i="15" s="1"/>
  <c r="AA5" i="15" s="1"/>
  <c r="AB5" i="15" s="1"/>
  <c r="AC5" i="15" s="1"/>
  <c r="AD5" i="15" s="1"/>
  <c r="AE5" i="15" s="1"/>
  <c r="AF5" i="15" s="1"/>
  <c r="AG5" i="15" s="1"/>
  <c r="AH5" i="15" s="1"/>
  <c r="AI5" i="15" s="1"/>
  <c r="AJ5" i="15" s="1"/>
  <c r="AK5" i="15" s="1"/>
  <c r="AL5" i="15" s="1"/>
  <c r="AM5" i="15" s="1"/>
  <c r="AN5" i="15" s="1"/>
  <c r="AO5" i="15" s="1"/>
  <c r="AP5" i="15" s="1"/>
  <c r="AQ5" i="15" s="1"/>
  <c r="AR5" i="15" s="1"/>
  <c r="AS5" i="15" s="1"/>
  <c r="AT5" i="15" s="1"/>
  <c r="AU5" i="15" s="1"/>
  <c r="AV5" i="15" s="1"/>
  <c r="AW5" i="15" s="1"/>
  <c r="AX5" i="15" s="1"/>
  <c r="AY5" i="15" s="1"/>
  <c r="AZ5" i="15" s="1"/>
  <c r="BA5" i="15" s="1"/>
  <c r="BB5" i="15" s="1"/>
  <c r="BC5" i="15" s="1"/>
  <c r="BD5" i="15" s="1"/>
  <c r="BE5" i="15" s="1"/>
  <c r="BF5" i="15" s="1"/>
  <c r="BG5" i="15" s="1"/>
  <c r="BH5" i="15" s="1"/>
  <c r="BI5" i="15" s="1"/>
  <c r="BJ5" i="15" s="1"/>
  <c r="BK5" i="15" s="1"/>
  <c r="C24" i="15"/>
  <c r="D62" i="15"/>
  <c r="E62" i="15"/>
  <c r="F62" i="15"/>
  <c r="G62" i="15"/>
  <c r="H62" i="15"/>
  <c r="I62" i="15"/>
  <c r="J62" i="15"/>
  <c r="K62" i="15"/>
  <c r="L62" i="15"/>
  <c r="M62" i="15"/>
  <c r="N62" i="15"/>
  <c r="O62" i="15"/>
  <c r="P62" i="15"/>
  <c r="Q62" i="15"/>
  <c r="R62" i="15"/>
  <c r="S62" i="15"/>
  <c r="T62" i="15"/>
  <c r="U62" i="15"/>
  <c r="V62" i="15"/>
  <c r="W62" i="15"/>
  <c r="X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AY62" i="15"/>
  <c r="AZ62" i="15"/>
  <c r="BA62" i="15"/>
  <c r="BB62" i="15"/>
  <c r="BC62" i="15"/>
  <c r="BD62" i="15"/>
  <c r="BE62" i="15"/>
  <c r="BF62" i="15"/>
  <c r="BG62" i="15"/>
  <c r="BH62" i="15"/>
  <c r="BI62" i="15"/>
  <c r="BJ62" i="15"/>
  <c r="BK62" i="15"/>
  <c r="C62" i="15"/>
  <c r="C15" i="15"/>
  <c r="C10" i="15"/>
  <c r="E63" i="15" l="1"/>
  <c r="F63" i="15" s="1"/>
  <c r="F69" i="15" s="1"/>
  <c r="D67" i="15"/>
  <c r="C69" i="15"/>
  <c r="C66" i="15"/>
  <c r="C67" i="15"/>
  <c r="D66" i="15"/>
  <c r="D69" i="15"/>
  <c r="F66" i="15" l="1"/>
  <c r="E66" i="15"/>
  <c r="E67" i="15"/>
  <c r="D68" i="15"/>
  <c r="E69" i="15"/>
  <c r="G63" i="15"/>
  <c r="F67" i="15"/>
  <c r="D64" i="15"/>
  <c r="E64" i="15"/>
  <c r="F64" i="15"/>
  <c r="G64" i="15"/>
  <c r="H64" i="15"/>
  <c r="I64" i="15"/>
  <c r="J64" i="15"/>
  <c r="K64" i="15"/>
  <c r="L64" i="15"/>
  <c r="M64" i="15"/>
  <c r="N64" i="15"/>
  <c r="O64" i="15"/>
  <c r="P64" i="15"/>
  <c r="Q64" i="15"/>
  <c r="R64" i="15"/>
  <c r="S64" i="15"/>
  <c r="T64" i="15"/>
  <c r="U64" i="15"/>
  <c r="V64" i="15"/>
  <c r="W64" i="15"/>
  <c r="X64" i="15"/>
  <c r="Y64" i="15"/>
  <c r="Z64" i="15"/>
  <c r="AA64" i="15"/>
  <c r="AB64" i="15"/>
  <c r="AC64" i="15"/>
  <c r="AD64" i="15"/>
  <c r="AE64" i="15"/>
  <c r="AF64" i="15"/>
  <c r="AG64" i="15"/>
  <c r="AH64" i="15"/>
  <c r="AI64" i="15"/>
  <c r="AJ64" i="15"/>
  <c r="AK64" i="15"/>
  <c r="AL64" i="15"/>
  <c r="AM64" i="15"/>
  <c r="AN64" i="15"/>
  <c r="AO64" i="15"/>
  <c r="AP64" i="15"/>
  <c r="AQ64" i="15"/>
  <c r="AR64" i="15"/>
  <c r="AS64" i="15"/>
  <c r="AT64" i="15"/>
  <c r="AU64" i="15"/>
  <c r="AV64" i="15"/>
  <c r="AW64" i="15"/>
  <c r="AX64" i="15"/>
  <c r="AY64" i="15"/>
  <c r="AZ64" i="15"/>
  <c r="BA64" i="15"/>
  <c r="BB64" i="15"/>
  <c r="BC64" i="15"/>
  <c r="BD64" i="15"/>
  <c r="BE64" i="15"/>
  <c r="BF64" i="15"/>
  <c r="BG64" i="15"/>
  <c r="BH64" i="15"/>
  <c r="BI64" i="15"/>
  <c r="BJ64" i="15"/>
  <c r="BK64" i="15"/>
  <c r="C64" i="15"/>
  <c r="C65" i="15" s="1"/>
  <c r="C72" i="15" s="1"/>
  <c r="X20" i="18"/>
  <c r="AQ20" i="18" s="1"/>
  <c r="Y20" i="18"/>
  <c r="AR20" i="18" s="1"/>
  <c r="Z20" i="18"/>
  <c r="AA20" i="18"/>
  <c r="AB20" i="18"/>
  <c r="AC20" i="18"/>
  <c r="AV20" i="18" s="1"/>
  <c r="AD20" i="18"/>
  <c r="AW20" i="18" s="1"/>
  <c r="AE20" i="18"/>
  <c r="AX20" i="18" s="1"/>
  <c r="AF20" i="18"/>
  <c r="AG20" i="18"/>
  <c r="AZ20" i="18" s="1"/>
  <c r="AH20" i="18"/>
  <c r="AI20" i="18"/>
  <c r="BB20" i="18" s="1"/>
  <c r="AJ20" i="18"/>
  <c r="BC20" i="18" s="1"/>
  <c r="AK20" i="18"/>
  <c r="BD20" i="18" s="1"/>
  <c r="AL20" i="18"/>
  <c r="BE20" i="18" s="1"/>
  <c r="AM20" i="18"/>
  <c r="BF20" i="18" s="1"/>
  <c r="W20" i="18"/>
  <c r="Y18" i="18"/>
  <c r="Q28" i="18"/>
  <c r="O28" i="18"/>
  <c r="K28" i="18" s="1"/>
  <c r="E28" i="18"/>
  <c r="Q27" i="18"/>
  <c r="K87" i="18" s="1"/>
  <c r="O27" i="18"/>
  <c r="J87" i="18" s="1"/>
  <c r="E27" i="18"/>
  <c r="E87" i="18" s="1"/>
  <c r="Q15" i="18"/>
  <c r="O15" i="18"/>
  <c r="I15" i="18" s="1"/>
  <c r="E15" i="18"/>
  <c r="Q14" i="18"/>
  <c r="R14" i="18" s="1"/>
  <c r="AK14" i="18" s="1"/>
  <c r="BD14" i="18" s="1"/>
  <c r="O14" i="18"/>
  <c r="AH14" i="18" s="1"/>
  <c r="BA14" i="18" s="1"/>
  <c r="E14" i="18"/>
  <c r="F14" i="18" s="1"/>
  <c r="Y14" i="18" s="1"/>
  <c r="AR14" i="18" s="1"/>
  <c r="Q12" i="18"/>
  <c r="K79" i="18" s="1"/>
  <c r="O12" i="18"/>
  <c r="L12" i="18" s="1"/>
  <c r="AE12" i="18" s="1"/>
  <c r="E12" i="18"/>
  <c r="Q11" i="18"/>
  <c r="K80" i="18" s="1"/>
  <c r="O11" i="18"/>
  <c r="L11" i="18" s="1"/>
  <c r="AE11" i="18" s="1"/>
  <c r="E11" i="18"/>
  <c r="E80" i="18" s="1"/>
  <c r="Q9" i="18"/>
  <c r="O9" i="18"/>
  <c r="P9" i="18" s="1"/>
  <c r="AI9" i="18" s="1"/>
  <c r="M9" i="18"/>
  <c r="M10" i="18" s="1"/>
  <c r="E9" i="18"/>
  <c r="E10" i="18" s="1"/>
  <c r="F10" i="18" s="1"/>
  <c r="Q8" i="18"/>
  <c r="O8" i="18"/>
  <c r="E8" i="18"/>
  <c r="Q7" i="18"/>
  <c r="AJ7" i="18" s="1"/>
  <c r="O7" i="18"/>
  <c r="P7" i="18" s="1"/>
  <c r="AI7" i="18" s="1"/>
  <c r="E7" i="18"/>
  <c r="J13" i="18"/>
  <c r="L80" i="18"/>
  <c r="J80" i="18"/>
  <c r="D80" i="18"/>
  <c r="L79" i="18"/>
  <c r="E79" i="18"/>
  <c r="D79" i="18"/>
  <c r="M15" i="18"/>
  <c r="N15" i="18" s="1"/>
  <c r="M14" i="18"/>
  <c r="N14" i="18" s="1"/>
  <c r="AG14" i="18" s="1"/>
  <c r="AZ14" i="18" s="1"/>
  <c r="M12" i="18"/>
  <c r="N12" i="18" s="1"/>
  <c r="M11" i="18"/>
  <c r="N11" i="18" s="1"/>
  <c r="AG11" i="18" s="1"/>
  <c r="M8" i="18"/>
  <c r="M6" i="18"/>
  <c r="N6" i="18" s="1"/>
  <c r="AG6" i="18" s="1"/>
  <c r="M7" i="18"/>
  <c r="N7" i="18" s="1"/>
  <c r="AG7" i="18" s="1"/>
  <c r="N8" i="18"/>
  <c r="N9" i="18"/>
  <c r="AG9" i="18" s="1"/>
  <c r="N13" i="18"/>
  <c r="E6" i="18"/>
  <c r="C119" i="18"/>
  <c r="C115" i="18"/>
  <c r="O115" i="18" s="1"/>
  <c r="C114" i="18"/>
  <c r="M114" i="18" s="1"/>
  <c r="S101" i="18"/>
  <c r="R101" i="18"/>
  <c r="Q101" i="18"/>
  <c r="P101" i="18"/>
  <c r="O101" i="18"/>
  <c r="N101" i="18"/>
  <c r="M101" i="18"/>
  <c r="L101" i="18"/>
  <c r="K101" i="18"/>
  <c r="J101" i="18"/>
  <c r="I101" i="18"/>
  <c r="H101" i="18"/>
  <c r="G101" i="18"/>
  <c r="F101" i="18"/>
  <c r="E101" i="18"/>
  <c r="D101" i="18"/>
  <c r="C101" i="18"/>
  <c r="S100" i="18"/>
  <c r="S112" i="18" s="1"/>
  <c r="R100" i="18"/>
  <c r="R112" i="18" s="1"/>
  <c r="Q100" i="18"/>
  <c r="Q112" i="18" s="1"/>
  <c r="P100" i="18"/>
  <c r="P112" i="18" s="1"/>
  <c r="O100" i="18"/>
  <c r="O112" i="18" s="1"/>
  <c r="N100" i="18"/>
  <c r="N112" i="18" s="1"/>
  <c r="M100" i="18"/>
  <c r="M112" i="18" s="1"/>
  <c r="L100" i="18"/>
  <c r="L112" i="18" s="1"/>
  <c r="K100" i="18"/>
  <c r="K112" i="18" s="1"/>
  <c r="J100" i="18"/>
  <c r="J112" i="18" s="1"/>
  <c r="I100" i="18"/>
  <c r="I112" i="18" s="1"/>
  <c r="H100" i="18"/>
  <c r="H112" i="18" s="1"/>
  <c r="G100" i="18"/>
  <c r="G112" i="18" s="1"/>
  <c r="F100" i="18"/>
  <c r="F112" i="18" s="1"/>
  <c r="E100" i="18"/>
  <c r="E112" i="18" s="1"/>
  <c r="D100" i="18"/>
  <c r="D112" i="18" s="1"/>
  <c r="C100" i="18"/>
  <c r="T99" i="18"/>
  <c r="S99" i="18"/>
  <c r="R99" i="18"/>
  <c r="Q99" i="18"/>
  <c r="P99" i="18"/>
  <c r="O99" i="18"/>
  <c r="N99" i="18"/>
  <c r="M99" i="18"/>
  <c r="L99" i="18"/>
  <c r="K99" i="18"/>
  <c r="J99" i="18"/>
  <c r="I99" i="18"/>
  <c r="H99" i="18"/>
  <c r="G99" i="18"/>
  <c r="F99" i="18"/>
  <c r="E99" i="18"/>
  <c r="D99" i="18"/>
  <c r="C99" i="18"/>
  <c r="T56" i="18"/>
  <c r="S56" i="18"/>
  <c r="R56" i="18"/>
  <c r="Q56" i="18"/>
  <c r="P56" i="18"/>
  <c r="O56" i="18"/>
  <c r="N56" i="18"/>
  <c r="M56" i="18"/>
  <c r="L56" i="18"/>
  <c r="K56" i="18"/>
  <c r="J56" i="18"/>
  <c r="I56" i="18"/>
  <c r="H56" i="18"/>
  <c r="G56" i="18"/>
  <c r="F56" i="18"/>
  <c r="E56" i="18"/>
  <c r="D56" i="18"/>
  <c r="S33" i="18"/>
  <c r="S36" i="18" s="1"/>
  <c r="R33" i="18"/>
  <c r="R36" i="18" s="1"/>
  <c r="P33" i="18"/>
  <c r="P36" i="18" s="1"/>
  <c r="N33" i="18"/>
  <c r="N36" i="18" s="1"/>
  <c r="L33" i="18"/>
  <c r="L36" i="18" s="1"/>
  <c r="J33" i="18"/>
  <c r="J36" i="18" s="1"/>
  <c r="H33" i="18"/>
  <c r="H36" i="18" s="1"/>
  <c r="F33" i="18"/>
  <c r="F36" i="18" s="1"/>
  <c r="AL26" i="18"/>
  <c r="BE26" i="18" s="1"/>
  <c r="AK26" i="18"/>
  <c r="BD26" i="18" s="1"/>
  <c r="AJ26" i="18"/>
  <c r="BC26" i="18" s="1"/>
  <c r="AI26" i="18"/>
  <c r="BB26" i="18" s="1"/>
  <c r="AH26" i="18"/>
  <c r="BA26" i="18" s="1"/>
  <c r="AG26" i="18"/>
  <c r="AZ26" i="18" s="1"/>
  <c r="AF26" i="18"/>
  <c r="AY26" i="18" s="1"/>
  <c r="AE26" i="18"/>
  <c r="AX26" i="18" s="1"/>
  <c r="AD26" i="18"/>
  <c r="AW26" i="18" s="1"/>
  <c r="AC26" i="18"/>
  <c r="AV26" i="18" s="1"/>
  <c r="AB26" i="18"/>
  <c r="AU26" i="18" s="1"/>
  <c r="AA26" i="18"/>
  <c r="AT26" i="18" s="1"/>
  <c r="Z26" i="18"/>
  <c r="AS26" i="18" s="1"/>
  <c r="Y26" i="18"/>
  <c r="AR26" i="18" s="1"/>
  <c r="X26" i="18"/>
  <c r="AQ26" i="18" s="1"/>
  <c r="T26" i="18"/>
  <c r="BF25" i="18"/>
  <c r="BE25" i="18"/>
  <c r="BD25" i="18"/>
  <c r="BC25" i="18"/>
  <c r="BB25" i="18"/>
  <c r="BA25" i="18"/>
  <c r="AZ25" i="18"/>
  <c r="AY25" i="18"/>
  <c r="AX25" i="18"/>
  <c r="AW25" i="18"/>
  <c r="AV25" i="18"/>
  <c r="AU25" i="18"/>
  <c r="AT25" i="18"/>
  <c r="AS25" i="18"/>
  <c r="AR25" i="18"/>
  <c r="AQ25" i="18"/>
  <c r="AP25" i="18"/>
  <c r="F25" i="18"/>
  <c r="G25" i="18" s="1"/>
  <c r="H25" i="18" s="1"/>
  <c r="I25" i="18" s="1"/>
  <c r="J25" i="18" s="1"/>
  <c r="K25" i="18" s="1"/>
  <c r="L25" i="18" s="1"/>
  <c r="M25" i="18" s="1"/>
  <c r="N25" i="18" s="1"/>
  <c r="O25" i="18" s="1"/>
  <c r="P25" i="18" s="1"/>
  <c r="Q25" i="18" s="1"/>
  <c r="R25" i="18" s="1"/>
  <c r="S25" i="18" s="1"/>
  <c r="T25" i="18" s="1"/>
  <c r="E25" i="18"/>
  <c r="BD24" i="18"/>
  <c r="BA24" i="18"/>
  <c r="AL24" i="18"/>
  <c r="BE24" i="18" s="1"/>
  <c r="AK24" i="18"/>
  <c r="AJ24" i="18"/>
  <c r="BC24" i="18" s="1"/>
  <c r="AI24" i="18"/>
  <c r="BB24" i="18" s="1"/>
  <c r="AH24" i="18"/>
  <c r="AG24" i="18"/>
  <c r="AZ24" i="18" s="1"/>
  <c r="AF24" i="18"/>
  <c r="AY24" i="18" s="1"/>
  <c r="AE24" i="18"/>
  <c r="AX24" i="18" s="1"/>
  <c r="AD24" i="18"/>
  <c r="AW24" i="18" s="1"/>
  <c r="AC24" i="18"/>
  <c r="AV24" i="18" s="1"/>
  <c r="AB24" i="18"/>
  <c r="AU24" i="18" s="1"/>
  <c r="AA24" i="18"/>
  <c r="AT24" i="18" s="1"/>
  <c r="Z24" i="18"/>
  <c r="AS24" i="18" s="1"/>
  <c r="Y24" i="18"/>
  <c r="AR24" i="18" s="1"/>
  <c r="X24" i="18"/>
  <c r="AQ24" i="18" s="1"/>
  <c r="W24" i="18"/>
  <c r="AP24" i="18" s="1"/>
  <c r="T24" i="18"/>
  <c r="AM24" i="18" s="1"/>
  <c r="BF24" i="18" s="1"/>
  <c r="BF23" i="18"/>
  <c r="BE23" i="18"/>
  <c r="BD23" i="18"/>
  <c r="BC23" i="18"/>
  <c r="BB23" i="18"/>
  <c r="BA23" i="18"/>
  <c r="AZ23" i="18"/>
  <c r="AY23" i="18"/>
  <c r="AX23" i="18"/>
  <c r="AW23" i="18"/>
  <c r="AV23" i="18"/>
  <c r="AU23" i="18"/>
  <c r="AT23" i="18"/>
  <c r="AS23" i="18"/>
  <c r="AR23" i="18"/>
  <c r="AQ23" i="18"/>
  <c r="AP23" i="18"/>
  <c r="BF22" i="18"/>
  <c r="BE22" i="18"/>
  <c r="BD22" i="18"/>
  <c r="BC22" i="18"/>
  <c r="BB22" i="18"/>
  <c r="BA22" i="18"/>
  <c r="AZ22" i="18"/>
  <c r="AY22" i="18"/>
  <c r="AX22" i="18"/>
  <c r="AW22" i="18"/>
  <c r="AV22" i="18"/>
  <c r="AU22" i="18"/>
  <c r="AT22" i="18"/>
  <c r="AS22" i="18"/>
  <c r="AR22" i="18"/>
  <c r="AQ22" i="18"/>
  <c r="AP22" i="18"/>
  <c r="BF21" i="18"/>
  <c r="BE21" i="18"/>
  <c r="BD21" i="18"/>
  <c r="BC21" i="18"/>
  <c r="BB21" i="18"/>
  <c r="BA21" i="18"/>
  <c r="AZ21" i="18"/>
  <c r="AY21" i="18"/>
  <c r="AX21" i="18"/>
  <c r="AW21" i="18"/>
  <c r="AV21" i="18"/>
  <c r="AU21" i="18"/>
  <c r="AT21" i="18"/>
  <c r="AS21" i="18"/>
  <c r="AR21" i="18"/>
  <c r="AQ21" i="18"/>
  <c r="AP21" i="18"/>
  <c r="AU20" i="18"/>
  <c r="AT20" i="18"/>
  <c r="BA20" i="18"/>
  <c r="AY20" i="18"/>
  <c r="AS20" i="18"/>
  <c r="AP20" i="18"/>
  <c r="Q19" i="18"/>
  <c r="AJ19" i="18" s="1"/>
  <c r="BC19" i="18" s="1"/>
  <c r="M19" i="18"/>
  <c r="AF19" i="18" s="1"/>
  <c r="AY19" i="18" s="1"/>
  <c r="D19" i="18"/>
  <c r="W19" i="18" s="1"/>
  <c r="AP19" i="18" s="1"/>
  <c r="S18" i="18"/>
  <c r="S19" i="18" s="1"/>
  <c r="AL19" i="18" s="1"/>
  <c r="BE19" i="18" s="1"/>
  <c r="R18" i="18"/>
  <c r="R19" i="18" s="1"/>
  <c r="AK19" i="18" s="1"/>
  <c r="BD19" i="18" s="1"/>
  <c r="Q18" i="18"/>
  <c r="AJ18" i="18" s="1"/>
  <c r="BC18" i="18" s="1"/>
  <c r="P18" i="18"/>
  <c r="AI18" i="18" s="1"/>
  <c r="O18" i="18"/>
  <c r="O19" i="18" s="1"/>
  <c r="AH19" i="18" s="1"/>
  <c r="BA19" i="18" s="1"/>
  <c r="N18" i="18"/>
  <c r="AG18" i="18" s="1"/>
  <c r="M18" i="18"/>
  <c r="AF18" i="18" s="1"/>
  <c r="AY18" i="18" s="1"/>
  <c r="L18" i="18"/>
  <c r="L19" i="18" s="1"/>
  <c r="AE19" i="18" s="1"/>
  <c r="AX19" i="18" s="1"/>
  <c r="K18" i="18"/>
  <c r="AD18" i="18" s="1"/>
  <c r="AW18" i="18" s="1"/>
  <c r="J18" i="18"/>
  <c r="J19" i="18" s="1"/>
  <c r="AC19" i="18" s="1"/>
  <c r="AV19" i="18" s="1"/>
  <c r="I18" i="18"/>
  <c r="I19" i="18" s="1"/>
  <c r="AB19" i="18" s="1"/>
  <c r="AU19" i="18" s="1"/>
  <c r="H18" i="18"/>
  <c r="AA18" i="18" s="1"/>
  <c r="AT18" i="18" s="1"/>
  <c r="G18" i="18"/>
  <c r="G19" i="18" s="1"/>
  <c r="Z19" i="18" s="1"/>
  <c r="AS19" i="18" s="1"/>
  <c r="F18" i="18"/>
  <c r="F19" i="18" s="1"/>
  <c r="Y19" i="18" s="1"/>
  <c r="AR19" i="18" s="1"/>
  <c r="E18" i="18"/>
  <c r="E19" i="18" s="1"/>
  <c r="X19" i="18" s="1"/>
  <c r="AQ19" i="18" s="1"/>
  <c r="D18" i="18"/>
  <c r="W18" i="18" s="1"/>
  <c r="AP18" i="18" s="1"/>
  <c r="BF17" i="18"/>
  <c r="BE17" i="18"/>
  <c r="BD17" i="18"/>
  <c r="BC17" i="18"/>
  <c r="BB17" i="18"/>
  <c r="BA17" i="18"/>
  <c r="AZ17" i="18"/>
  <c r="AY17" i="18"/>
  <c r="AX17" i="18"/>
  <c r="AW17" i="18"/>
  <c r="AV17" i="18"/>
  <c r="AU17" i="18"/>
  <c r="AT17" i="18"/>
  <c r="AS17" i="18"/>
  <c r="AR17" i="18"/>
  <c r="AQ17" i="18"/>
  <c r="AP17" i="18"/>
  <c r="S17" i="18"/>
  <c r="R17" i="18"/>
  <c r="Q17" i="18"/>
  <c r="P17" i="18"/>
  <c r="O17" i="18"/>
  <c r="N17" i="18"/>
  <c r="M17" i="18"/>
  <c r="L17" i="18"/>
  <c r="K17" i="18"/>
  <c r="J17" i="18"/>
  <c r="I17" i="18"/>
  <c r="H17" i="18"/>
  <c r="G17" i="18"/>
  <c r="F17" i="18"/>
  <c r="E17" i="18"/>
  <c r="D17" i="18"/>
  <c r="BF16" i="18"/>
  <c r="BE16" i="18"/>
  <c r="BD16" i="18"/>
  <c r="BC16" i="18"/>
  <c r="BB16" i="18"/>
  <c r="BA16" i="18"/>
  <c r="AZ16" i="18"/>
  <c r="AY16" i="18"/>
  <c r="AX16" i="18"/>
  <c r="AW16" i="18"/>
  <c r="AV16" i="18"/>
  <c r="AU16" i="18"/>
  <c r="AT16" i="18"/>
  <c r="AS16" i="18"/>
  <c r="AR16" i="18"/>
  <c r="AQ16" i="18"/>
  <c r="AP16" i="18"/>
  <c r="Q16" i="18"/>
  <c r="O16" i="18"/>
  <c r="M16" i="18"/>
  <c r="K16" i="18"/>
  <c r="I16" i="18"/>
  <c r="G16" i="18"/>
  <c r="E16" i="18"/>
  <c r="D16" i="18"/>
  <c r="BF15" i="18"/>
  <c r="BE15" i="18"/>
  <c r="BD15" i="18"/>
  <c r="BC15" i="18"/>
  <c r="BB15" i="18"/>
  <c r="BA15" i="18"/>
  <c r="AZ15" i="18"/>
  <c r="AY15" i="18"/>
  <c r="AX15" i="18"/>
  <c r="AW15" i="18"/>
  <c r="AV15" i="18"/>
  <c r="AU15" i="18"/>
  <c r="AT15" i="18"/>
  <c r="AS15" i="18"/>
  <c r="AR15" i="18"/>
  <c r="AQ15" i="18"/>
  <c r="AP15" i="18"/>
  <c r="T15" i="18"/>
  <c r="H15" i="18"/>
  <c r="AL14" i="18"/>
  <c r="BE14" i="18" s="1"/>
  <c r="AJ14" i="18"/>
  <c r="BC14" i="18" s="1"/>
  <c r="W14" i="18"/>
  <c r="AP14" i="18" s="1"/>
  <c r="T14" i="18"/>
  <c r="AO13" i="18"/>
  <c r="BE13" i="18" s="1"/>
  <c r="T13" i="18"/>
  <c r="R13" i="18"/>
  <c r="P13" i="18"/>
  <c r="F13" i="18"/>
  <c r="AO12" i="18"/>
  <c r="AL12" i="18"/>
  <c r="AF12" i="18"/>
  <c r="W12" i="18"/>
  <c r="T12" i="18"/>
  <c r="M79" i="18" s="1"/>
  <c r="AO11" i="18"/>
  <c r="AL11" i="18"/>
  <c r="W11" i="18"/>
  <c r="T11" i="18"/>
  <c r="M80" i="18" s="1"/>
  <c r="I11" i="18"/>
  <c r="G80" i="18" s="1"/>
  <c r="AO10" i="18"/>
  <c r="Q10" i="18"/>
  <c r="R10" i="18" s="1"/>
  <c r="AL9" i="18"/>
  <c r="AL10" i="18" s="1"/>
  <c r="W9" i="18"/>
  <c r="W10" i="18" s="1"/>
  <c r="T9" i="18"/>
  <c r="T10" i="18" s="1"/>
  <c r="AL8" i="18"/>
  <c r="AF8" i="18"/>
  <c r="W8" i="18"/>
  <c r="T8" i="18"/>
  <c r="AM8" i="18" s="1"/>
  <c r="AO7" i="18"/>
  <c r="T7" i="18"/>
  <c r="AM7" i="18" s="1"/>
  <c r="BF7" i="18" s="1"/>
  <c r="AF7" i="18"/>
  <c r="AY7" i="18" s="1"/>
  <c r="J7" i="18"/>
  <c r="AC7" i="18" s="1"/>
  <c r="AV7" i="18" s="1"/>
  <c r="AO6" i="18"/>
  <c r="AL6" i="18"/>
  <c r="W6" i="18"/>
  <c r="T6" i="18"/>
  <c r="AM6" i="18" s="1"/>
  <c r="Q6" i="18"/>
  <c r="K77" i="18" s="1"/>
  <c r="O6" i="18"/>
  <c r="AH6" i="18" s="1"/>
  <c r="AL5" i="18"/>
  <c r="BE5" i="18" s="1"/>
  <c r="AK5" i="18"/>
  <c r="BD5" i="18" s="1"/>
  <c r="AJ5" i="18"/>
  <c r="BC5" i="18" s="1"/>
  <c r="AI5" i="18"/>
  <c r="BB5" i="18" s="1"/>
  <c r="AH5" i="18"/>
  <c r="BA5" i="18" s="1"/>
  <c r="AG5" i="18"/>
  <c r="AZ5" i="18" s="1"/>
  <c r="AF5" i="18"/>
  <c r="AY5" i="18" s="1"/>
  <c r="AE5" i="18"/>
  <c r="AX5" i="18" s="1"/>
  <c r="AD5" i="18"/>
  <c r="AW5" i="18" s="1"/>
  <c r="AC5" i="18"/>
  <c r="AV5" i="18" s="1"/>
  <c r="AB5" i="18"/>
  <c r="AU5" i="18" s="1"/>
  <c r="AA5" i="18"/>
  <c r="AT5" i="18" s="1"/>
  <c r="Z5" i="18"/>
  <c r="AS5" i="18" s="1"/>
  <c r="Y5" i="18"/>
  <c r="AR5" i="18" s="1"/>
  <c r="X5" i="18"/>
  <c r="AQ5" i="18" s="1"/>
  <c r="W5" i="18"/>
  <c r="AP5" i="18" s="1"/>
  <c r="T5" i="18"/>
  <c r="AJ4" i="18"/>
  <c r="BC4" i="18" s="1"/>
  <c r="AH4" i="18"/>
  <c r="BA4" i="18" s="1"/>
  <c r="AF4" i="18"/>
  <c r="AY4" i="18" s="1"/>
  <c r="AD4" i="18"/>
  <c r="AW4" i="18" s="1"/>
  <c r="AB4" i="18"/>
  <c r="AU4" i="18" s="1"/>
  <c r="Z4" i="18"/>
  <c r="AS4" i="18" s="1"/>
  <c r="X4" i="18"/>
  <c r="AQ4" i="18" s="1"/>
  <c r="W4" i="18"/>
  <c r="AP4" i="18" s="1"/>
  <c r="T4" i="18"/>
  <c r="T100" i="18" s="1"/>
  <c r="T112" i="18" s="1"/>
  <c r="AK18" i="18" l="1"/>
  <c r="BD18" i="18" s="1"/>
  <c r="AH18" i="18"/>
  <c r="AP10" i="18"/>
  <c r="H19" i="18"/>
  <c r="AA19" i="18" s="1"/>
  <c r="AT19" i="18" s="1"/>
  <c r="K19" i="18"/>
  <c r="AD19" i="18" s="1"/>
  <c r="AW19" i="18" s="1"/>
  <c r="AE18" i="18"/>
  <c r="AX18" i="18" s="1"/>
  <c r="AC18" i="18"/>
  <c r="AV18" i="18" s="1"/>
  <c r="M77" i="18"/>
  <c r="AB18" i="18"/>
  <c r="BE11" i="18"/>
  <c r="Z18" i="18"/>
  <c r="X18" i="18"/>
  <c r="AQ18" i="18" s="1"/>
  <c r="R7" i="18"/>
  <c r="AK7" i="18" s="1"/>
  <c r="BD7" i="18" s="1"/>
  <c r="S7" i="18"/>
  <c r="L77" i="18" s="1"/>
  <c r="BB18" i="18"/>
  <c r="AL18" i="18"/>
  <c r="E68" i="15"/>
  <c r="F68" i="15" s="1"/>
  <c r="K6" i="18"/>
  <c r="AQ13" i="18"/>
  <c r="AR13" i="18"/>
  <c r="AT13" i="18"/>
  <c r="AV13" i="18"/>
  <c r="O10" i="18"/>
  <c r="AW13" i="18"/>
  <c r="AY13" i="18"/>
  <c r="I77" i="18"/>
  <c r="AJ11" i="18"/>
  <c r="BC11" i="18" s="1"/>
  <c r="AZ13" i="18"/>
  <c r="BA13" i="18"/>
  <c r="BD13" i="18"/>
  <c r="E77" i="18"/>
  <c r="BF13" i="18"/>
  <c r="BB7" i="18"/>
  <c r="AP12" i="18"/>
  <c r="AZ11" i="18"/>
  <c r="BE12" i="18"/>
  <c r="AU13" i="18"/>
  <c r="G9" i="18"/>
  <c r="Z9" i="18" s="1"/>
  <c r="Z10" i="18" s="1"/>
  <c r="AS10" i="18" s="1"/>
  <c r="N10" i="18"/>
  <c r="X7" i="18"/>
  <c r="AQ7" i="18" s="1"/>
  <c r="F7" i="18"/>
  <c r="Y7" i="18" s="1"/>
  <c r="AR7" i="18" s="1"/>
  <c r="AF9" i="18"/>
  <c r="AP11" i="18"/>
  <c r="AZ18" i="18"/>
  <c r="AZ7" i="18"/>
  <c r="I7" i="18"/>
  <c r="AB7" i="18" s="1"/>
  <c r="AU7" i="18" s="1"/>
  <c r="BE10" i="18"/>
  <c r="H12" i="18"/>
  <c r="AA12" i="18" s="1"/>
  <c r="AT12" i="18" s="1"/>
  <c r="I12" i="18"/>
  <c r="G79" i="18" s="1"/>
  <c r="J12" i="18"/>
  <c r="AC12" i="18" s="1"/>
  <c r="AV12" i="18" s="1"/>
  <c r="BB13" i="18"/>
  <c r="L28" i="18"/>
  <c r="L30" i="18" s="1"/>
  <c r="G11" i="18"/>
  <c r="P28" i="18"/>
  <c r="P30" i="18" s="1"/>
  <c r="J6" i="18"/>
  <c r="AC6" i="18" s="1"/>
  <c r="AV6" i="18" s="1"/>
  <c r="H11" i="18"/>
  <c r="AA11" i="18" s="1"/>
  <c r="AT11" i="18" s="1"/>
  <c r="J77" i="18"/>
  <c r="P15" i="18"/>
  <c r="I79" i="18"/>
  <c r="J79" i="18"/>
  <c r="BF6" i="18"/>
  <c r="AP13" i="18"/>
  <c r="AF11" i="18"/>
  <c r="AY11" i="18" s="1"/>
  <c r="I80" i="18"/>
  <c r="Q30" i="18"/>
  <c r="E30" i="18"/>
  <c r="H63" i="15"/>
  <c r="G67" i="15"/>
  <c r="G69" i="15"/>
  <c r="G66" i="15"/>
  <c r="D65" i="15"/>
  <c r="C73" i="15"/>
  <c r="C71" i="15"/>
  <c r="C70" i="15"/>
  <c r="C80" i="15" s="1"/>
  <c r="T114" i="18"/>
  <c r="D114" i="18"/>
  <c r="E114" i="18"/>
  <c r="F114" i="18"/>
  <c r="G114" i="18"/>
  <c r="I114" i="18"/>
  <c r="K114" i="18"/>
  <c r="L114" i="18"/>
  <c r="P114" i="18"/>
  <c r="J114" i="18"/>
  <c r="O114" i="18"/>
  <c r="O116" i="18" s="1"/>
  <c r="N28" i="18"/>
  <c r="N30" i="18" s="1"/>
  <c r="O30" i="18"/>
  <c r="K30" i="18"/>
  <c r="I28" i="18"/>
  <c r="I30" i="18" s="1"/>
  <c r="J28" i="18"/>
  <c r="J30" i="18" s="1"/>
  <c r="F27" i="18"/>
  <c r="I14" i="18"/>
  <c r="AB14" i="18" s="1"/>
  <c r="AU14" i="18" s="1"/>
  <c r="J14" i="18"/>
  <c r="AC14" i="18" s="1"/>
  <c r="AV14" i="18" s="1"/>
  <c r="K14" i="18"/>
  <c r="P14" i="18"/>
  <c r="AI14" i="18" s="1"/>
  <c r="BB14" i="18" s="1"/>
  <c r="R12" i="18"/>
  <c r="AK12" i="18" s="1"/>
  <c r="BD12" i="18" s="1"/>
  <c r="AJ12" i="18"/>
  <c r="BC12" i="18" s="1"/>
  <c r="AX12" i="18"/>
  <c r="R11" i="18"/>
  <c r="AK11" i="18" s="1"/>
  <c r="BD11" i="18" s="1"/>
  <c r="R9" i="18"/>
  <c r="AK9" i="18" s="1"/>
  <c r="AJ9" i="18"/>
  <c r="AJ10" i="18" s="1"/>
  <c r="I10" i="18"/>
  <c r="J10" i="18"/>
  <c r="L10" i="18"/>
  <c r="H9" i="18"/>
  <c r="AA9" i="18" s="1"/>
  <c r="AA10" i="18" s="1"/>
  <c r="AT10" i="18" s="1"/>
  <c r="I9" i="18"/>
  <c r="L9" i="18"/>
  <c r="AE9" i="18" s="1"/>
  <c r="AE10" i="18" s="1"/>
  <c r="AX10" i="18" s="1"/>
  <c r="AJ8" i="18"/>
  <c r="R8" i="18"/>
  <c r="AK8" i="18" s="1"/>
  <c r="H8" i="18"/>
  <c r="AA8" i="18" s="1"/>
  <c r="I8" i="18"/>
  <c r="AB8" i="18" s="1"/>
  <c r="J8" i="18"/>
  <c r="AC8" i="18" s="1"/>
  <c r="L8" i="18"/>
  <c r="AE8" i="18" s="1"/>
  <c r="BC7" i="18"/>
  <c r="AG10" i="18"/>
  <c r="AZ10" i="18" s="1"/>
  <c r="AI10" i="18"/>
  <c r="BB10" i="18" s="1"/>
  <c r="H6" i="18"/>
  <c r="AA6" i="18" s="1"/>
  <c r="AT6" i="18" s="1"/>
  <c r="AZ6" i="18"/>
  <c r="F8" i="18"/>
  <c r="Y8" i="18" s="1"/>
  <c r="AM9" i="18"/>
  <c r="AF14" i="18"/>
  <c r="AY14" i="18" s="1"/>
  <c r="AR18" i="18"/>
  <c r="I6" i="18"/>
  <c r="BA6" i="18"/>
  <c r="G8" i="18"/>
  <c r="G10" i="18"/>
  <c r="G12" i="18"/>
  <c r="F79" i="18" s="1"/>
  <c r="AY12" i="18"/>
  <c r="H14" i="18"/>
  <c r="AA14" i="18" s="1"/>
  <c r="AT14" i="18" s="1"/>
  <c r="AS18" i="18"/>
  <c r="M28" i="18"/>
  <c r="M30" i="18" s="1"/>
  <c r="H28" i="18"/>
  <c r="H30" i="18" s="1"/>
  <c r="E29" i="18"/>
  <c r="T17" i="18"/>
  <c r="AU18" i="18"/>
  <c r="R28" i="18"/>
  <c r="L6" i="18"/>
  <c r="AE6" i="18" s="1"/>
  <c r="AX6" i="18" s="1"/>
  <c r="F15" i="18"/>
  <c r="AJ6" i="18"/>
  <c r="BC6" i="18" s="1"/>
  <c r="BE6" i="18"/>
  <c r="K8" i="18"/>
  <c r="AH8" i="18"/>
  <c r="X9" i="18"/>
  <c r="K10" i="18"/>
  <c r="BC10" i="18"/>
  <c r="X11" i="18"/>
  <c r="AQ11" i="18" s="1"/>
  <c r="K12" i="18"/>
  <c r="H79" i="18" s="1"/>
  <c r="AH12" i="18"/>
  <c r="BA12" i="18" s="1"/>
  <c r="AS13" i="18"/>
  <c r="L14" i="18"/>
  <c r="AE14" i="18" s="1"/>
  <c r="AX14" i="18" s="1"/>
  <c r="G15" i="18"/>
  <c r="AM14" i="18"/>
  <c r="BF14" i="18" s="1"/>
  <c r="P6" i="18"/>
  <c r="AI6" i="18" s="1"/>
  <c r="BB6" i="18" s="1"/>
  <c r="AG8" i="18"/>
  <c r="AG12" i="18"/>
  <c r="AZ12" i="18" s="1"/>
  <c r="J15" i="18"/>
  <c r="BA18" i="18"/>
  <c r="O29" i="18"/>
  <c r="T101" i="18"/>
  <c r="AM26" i="18"/>
  <c r="BF26" i="18" s="1"/>
  <c r="AB11" i="18"/>
  <c r="AU11" i="18" s="1"/>
  <c r="K15" i="18"/>
  <c r="R6" i="18"/>
  <c r="AK6" i="18" s="1"/>
  <c r="BD6" i="18" s="1"/>
  <c r="AP6" i="18"/>
  <c r="G7" i="18"/>
  <c r="P8" i="18"/>
  <c r="AI8" i="18" s="1"/>
  <c r="F9" i="18"/>
  <c r="Y9" i="18" s="1"/>
  <c r="F11" i="18"/>
  <c r="Y11" i="18" s="1"/>
  <c r="AR11" i="18" s="1"/>
  <c r="AX11" i="18"/>
  <c r="P12" i="18"/>
  <c r="AI12" i="18" s="1"/>
  <c r="BB12" i="18" s="1"/>
  <c r="AM12" i="18"/>
  <c r="BF12" i="18" s="1"/>
  <c r="AX13" i="18"/>
  <c r="Q29" i="18"/>
  <c r="H7" i="18"/>
  <c r="AA7" i="18" s="1"/>
  <c r="AT7" i="18" s="1"/>
  <c r="L15" i="18"/>
  <c r="BE18" i="18"/>
  <c r="X6" i="18"/>
  <c r="AQ6" i="18" s="1"/>
  <c r="K7" i="18"/>
  <c r="J9" i="18"/>
  <c r="J11" i="18"/>
  <c r="AC11" i="18" s="1"/>
  <c r="AV11" i="18" s="1"/>
  <c r="R15" i="18"/>
  <c r="L7" i="18"/>
  <c r="AE7" i="18" s="1"/>
  <c r="AX7" i="18" s="1"/>
  <c r="AH7" i="18"/>
  <c r="BA7" i="18" s="1"/>
  <c r="X8" i="18"/>
  <c r="K9" i="18"/>
  <c r="AH9" i="18"/>
  <c r="K11" i="18"/>
  <c r="H80" i="18" s="1"/>
  <c r="AH11" i="18"/>
  <c r="BA11" i="18" s="1"/>
  <c r="X12" i="18"/>
  <c r="AQ12" i="18" s="1"/>
  <c r="BC13" i="18"/>
  <c r="N19" i="18"/>
  <c r="AG19" i="18" s="1"/>
  <c r="AZ19" i="18" s="1"/>
  <c r="P27" i="18"/>
  <c r="G28" i="18"/>
  <c r="G30" i="18" s="1"/>
  <c r="T18" i="18"/>
  <c r="AM18" i="18" s="1"/>
  <c r="P19" i="18"/>
  <c r="AI19" i="18" s="1"/>
  <c r="BB19" i="18" s="1"/>
  <c r="R27" i="18"/>
  <c r="F6" i="18"/>
  <c r="Y6" i="18" s="1"/>
  <c r="AR6" i="18" s="1"/>
  <c r="AB12" i="18"/>
  <c r="AU12" i="18" s="1"/>
  <c r="X14" i="18"/>
  <c r="AQ14" i="18" s="1"/>
  <c r="AM5" i="18"/>
  <c r="BF5" i="18" s="1"/>
  <c r="G6" i="18"/>
  <c r="AD6" i="18"/>
  <c r="AW6" i="18" s="1"/>
  <c r="AL7" i="18"/>
  <c r="BE7" i="18" s="1"/>
  <c r="P11" i="18"/>
  <c r="AI11" i="18" s="1"/>
  <c r="BB11" i="18" s="1"/>
  <c r="AM11" i="18"/>
  <c r="BF11" i="18" s="1"/>
  <c r="F12" i="18"/>
  <c r="Y12" i="18" s="1"/>
  <c r="AR12" i="18" s="1"/>
  <c r="G14" i="18"/>
  <c r="F28" i="18"/>
  <c r="F30" i="18" s="1"/>
  <c r="N114" i="18"/>
  <c r="P115" i="18"/>
  <c r="Q115" i="18"/>
  <c r="R115" i="18"/>
  <c r="Q114" i="18"/>
  <c r="S115" i="18"/>
  <c r="R114" i="18"/>
  <c r="T115" i="18"/>
  <c r="D115" i="18"/>
  <c r="E115" i="18"/>
  <c r="F115" i="18"/>
  <c r="G115" i="18"/>
  <c r="H115" i="18"/>
  <c r="I115" i="18"/>
  <c r="H114" i="18"/>
  <c r="J115" i="18"/>
  <c r="K115" i="18"/>
  <c r="L115" i="18"/>
  <c r="M115" i="18"/>
  <c r="M116" i="18" s="1"/>
  <c r="N115" i="18"/>
  <c r="AO11" i="17"/>
  <c r="AO7" i="17"/>
  <c r="AO13" i="17"/>
  <c r="AO12" i="17"/>
  <c r="AO10" i="17"/>
  <c r="AO6" i="17"/>
  <c r="X20" i="17"/>
  <c r="AQ20" i="17" s="1"/>
  <c r="Y20" i="17"/>
  <c r="AR20" i="17" s="1"/>
  <c r="Z20" i="17"/>
  <c r="AS20" i="17" s="1"/>
  <c r="AA20" i="17"/>
  <c r="AT20" i="17" s="1"/>
  <c r="AB20" i="17"/>
  <c r="AC20" i="17"/>
  <c r="AV20" i="17" s="1"/>
  <c r="AD20" i="17"/>
  <c r="AW20" i="17" s="1"/>
  <c r="AE20" i="17"/>
  <c r="AX20" i="17" s="1"/>
  <c r="AF20" i="17"/>
  <c r="AY20" i="17" s="1"/>
  <c r="AG20" i="17"/>
  <c r="AZ20" i="17" s="1"/>
  <c r="AH20" i="17"/>
  <c r="BA20" i="17" s="1"/>
  <c r="AI20" i="17"/>
  <c r="BB20" i="17" s="1"/>
  <c r="AJ20" i="17"/>
  <c r="BC20" i="17" s="1"/>
  <c r="AK20" i="17"/>
  <c r="AL20" i="17"/>
  <c r="AM20" i="17"/>
  <c r="BF20" i="17" s="1"/>
  <c r="W20" i="17"/>
  <c r="AP20" i="17" s="1"/>
  <c r="X18" i="17"/>
  <c r="AA18" i="17"/>
  <c r="AH18" i="17"/>
  <c r="AK18" i="17"/>
  <c r="BD18" i="17" s="1"/>
  <c r="X5" i="17"/>
  <c r="Y5" i="17"/>
  <c r="AR5" i="17" s="1"/>
  <c r="Z5" i="17"/>
  <c r="AS5" i="17" s="1"/>
  <c r="AA5" i="17"/>
  <c r="AT5" i="17" s="1"/>
  <c r="AB5" i="17"/>
  <c r="AU5" i="17" s="1"/>
  <c r="AC5" i="17"/>
  <c r="AV5" i="17" s="1"/>
  <c r="AD5" i="17"/>
  <c r="AW5" i="17" s="1"/>
  <c r="AE5" i="17"/>
  <c r="AX5" i="17" s="1"/>
  <c r="AF5" i="17"/>
  <c r="AY5" i="17" s="1"/>
  <c r="AG5" i="17"/>
  <c r="AZ5" i="17" s="1"/>
  <c r="AH5" i="17"/>
  <c r="AI5" i="17"/>
  <c r="AJ5" i="17"/>
  <c r="BC5" i="17" s="1"/>
  <c r="AK5" i="17"/>
  <c r="BD5" i="17" s="1"/>
  <c r="AL5" i="17"/>
  <c r="BE5" i="17" s="1"/>
  <c r="W5" i="17"/>
  <c r="X4" i="17"/>
  <c r="AQ4" i="17" s="1"/>
  <c r="Z4" i="17"/>
  <c r="AS4" i="17" s="1"/>
  <c r="AB4" i="17"/>
  <c r="AU4" i="17" s="1"/>
  <c r="AD4" i="17"/>
  <c r="AW4" i="17" s="1"/>
  <c r="AF4" i="17"/>
  <c r="AY4" i="17" s="1"/>
  <c r="AH4" i="17"/>
  <c r="BA4" i="17" s="1"/>
  <c r="AJ4" i="17"/>
  <c r="BC4" i="17" s="1"/>
  <c r="W4" i="17"/>
  <c r="AP4" i="17" s="1"/>
  <c r="J7" i="17"/>
  <c r="AC7" i="17" s="1"/>
  <c r="H9" i="17"/>
  <c r="H13" i="17"/>
  <c r="I13" i="17"/>
  <c r="J13" i="17"/>
  <c r="K13" i="17"/>
  <c r="L13" i="17"/>
  <c r="M13" i="17"/>
  <c r="N13" i="17"/>
  <c r="K14" i="17"/>
  <c r="G13" i="17"/>
  <c r="Q14" i="16"/>
  <c r="O14" i="16"/>
  <c r="M14" i="16"/>
  <c r="L80" i="17"/>
  <c r="E80" i="17"/>
  <c r="D80" i="17"/>
  <c r="L79" i="17"/>
  <c r="D79" i="17"/>
  <c r="Q28" i="17"/>
  <c r="R28" i="17" s="1"/>
  <c r="O28" i="17"/>
  <c r="P28" i="17" s="1"/>
  <c r="E28" i="17"/>
  <c r="Q27" i="17"/>
  <c r="K87" i="17" s="1"/>
  <c r="O27" i="17"/>
  <c r="J87" i="17" s="1"/>
  <c r="E27" i="17"/>
  <c r="E87" i="17" s="1"/>
  <c r="Q15" i="17"/>
  <c r="R15" i="17" s="1"/>
  <c r="Q14" i="17"/>
  <c r="R14" i="17" s="1"/>
  <c r="AK14" i="17" s="1"/>
  <c r="BD14" i="17" s="1"/>
  <c r="Q12" i="17"/>
  <c r="AJ12" i="17" s="1"/>
  <c r="Q11" i="17"/>
  <c r="AJ11" i="17" s="1"/>
  <c r="Q7" i="17"/>
  <c r="AJ7" i="17" s="1"/>
  <c r="BC7" i="17" s="1"/>
  <c r="Q8" i="17"/>
  <c r="Q9" i="17"/>
  <c r="Q6" i="17"/>
  <c r="AJ6" i="17" s="1"/>
  <c r="O15" i="17"/>
  <c r="P15" i="17" s="1"/>
  <c r="O14" i="17"/>
  <c r="H14" i="17" s="1"/>
  <c r="O12" i="17"/>
  <c r="J79" i="17" s="1"/>
  <c r="O11" i="17"/>
  <c r="AH11" i="17" s="1"/>
  <c r="O9" i="17"/>
  <c r="I9" i="17" s="1"/>
  <c r="O7" i="17"/>
  <c r="P7" i="17" s="1"/>
  <c r="AI7" i="17" s="1"/>
  <c r="O8" i="17"/>
  <c r="H8" i="17" s="1"/>
  <c r="O6" i="17"/>
  <c r="I6" i="17" s="1"/>
  <c r="E15" i="17"/>
  <c r="E14" i="17"/>
  <c r="E12" i="17"/>
  <c r="E79" i="17" s="1"/>
  <c r="E11" i="17"/>
  <c r="E8" i="17"/>
  <c r="E9" i="17"/>
  <c r="E7" i="17"/>
  <c r="X7" i="17" s="1"/>
  <c r="E6" i="17"/>
  <c r="C119" i="17"/>
  <c r="C115" i="17"/>
  <c r="N115" i="17" s="1"/>
  <c r="C114" i="17"/>
  <c r="G114" i="17" s="1"/>
  <c r="H112" i="17"/>
  <c r="S101" i="17"/>
  <c r="R101" i="17"/>
  <c r="Q101" i="17"/>
  <c r="P101" i="17"/>
  <c r="O101" i="17"/>
  <c r="N101" i="17"/>
  <c r="M101" i="17"/>
  <c r="L101" i="17"/>
  <c r="K101" i="17"/>
  <c r="J101" i="17"/>
  <c r="I101" i="17"/>
  <c r="H101" i="17"/>
  <c r="G101" i="17"/>
  <c r="F101" i="17"/>
  <c r="E101" i="17"/>
  <c r="D101" i="17"/>
  <c r="C101" i="17"/>
  <c r="S100" i="17"/>
  <c r="S112" i="17" s="1"/>
  <c r="R100" i="17"/>
  <c r="R112" i="17" s="1"/>
  <c r="Q100" i="17"/>
  <c r="Q112" i="17" s="1"/>
  <c r="P100" i="17"/>
  <c r="P112" i="17" s="1"/>
  <c r="O100" i="17"/>
  <c r="O112" i="17" s="1"/>
  <c r="N100" i="17"/>
  <c r="N112" i="17" s="1"/>
  <c r="M100" i="17"/>
  <c r="M112" i="17" s="1"/>
  <c r="L100" i="17"/>
  <c r="L112" i="17" s="1"/>
  <c r="K100" i="17"/>
  <c r="K112" i="17" s="1"/>
  <c r="J100" i="17"/>
  <c r="J112" i="17" s="1"/>
  <c r="I100" i="17"/>
  <c r="I112" i="17" s="1"/>
  <c r="H100" i="17"/>
  <c r="G100" i="17"/>
  <c r="G112" i="17" s="1"/>
  <c r="F100" i="17"/>
  <c r="F112" i="17" s="1"/>
  <c r="E100" i="17"/>
  <c r="E112" i="17" s="1"/>
  <c r="D100" i="17"/>
  <c r="D112" i="17" s="1"/>
  <c r="C100" i="17"/>
  <c r="T99" i="17"/>
  <c r="S99" i="17"/>
  <c r="R99" i="17"/>
  <c r="Q99" i="17"/>
  <c r="P99" i="17"/>
  <c r="O99" i="17"/>
  <c r="N99" i="17"/>
  <c r="M99" i="17"/>
  <c r="L99" i="17"/>
  <c r="K99" i="17"/>
  <c r="J99" i="17"/>
  <c r="I99" i="17"/>
  <c r="H99" i="17"/>
  <c r="G99" i="17"/>
  <c r="F99" i="17"/>
  <c r="E99" i="17"/>
  <c r="D99" i="17"/>
  <c r="C99" i="17"/>
  <c r="T56" i="17"/>
  <c r="S56" i="17"/>
  <c r="R56" i="17"/>
  <c r="Q56" i="17"/>
  <c r="P56" i="17"/>
  <c r="O56" i="17"/>
  <c r="N56" i="17"/>
  <c r="M56" i="17"/>
  <c r="L56" i="17"/>
  <c r="K56" i="17"/>
  <c r="J56" i="17"/>
  <c r="I56" i="17"/>
  <c r="H56" i="17"/>
  <c r="G56" i="17"/>
  <c r="F56" i="17"/>
  <c r="E56" i="17"/>
  <c r="D56" i="17"/>
  <c r="S33" i="17"/>
  <c r="S36" i="17" s="1"/>
  <c r="R33" i="17"/>
  <c r="R36" i="17" s="1"/>
  <c r="P33" i="17"/>
  <c r="P36" i="17" s="1"/>
  <c r="N33" i="17"/>
  <c r="N36" i="17" s="1"/>
  <c r="L33" i="17"/>
  <c r="L36" i="17" s="1"/>
  <c r="J33" i="17"/>
  <c r="J36" i="17" s="1"/>
  <c r="H33" i="17"/>
  <c r="H36" i="17" s="1"/>
  <c r="F33" i="17"/>
  <c r="F36" i="17" s="1"/>
  <c r="AL26" i="17"/>
  <c r="BE26" i="17" s="1"/>
  <c r="AK26" i="17"/>
  <c r="BD26" i="17" s="1"/>
  <c r="AJ26" i="17"/>
  <c r="BC26" i="17" s="1"/>
  <c r="AI26" i="17"/>
  <c r="BB26" i="17" s="1"/>
  <c r="AH26" i="17"/>
  <c r="BA26" i="17" s="1"/>
  <c r="AG26" i="17"/>
  <c r="AZ26" i="17" s="1"/>
  <c r="AF26" i="17"/>
  <c r="AY26" i="17" s="1"/>
  <c r="AE26" i="17"/>
  <c r="AX26" i="17" s="1"/>
  <c r="AD26" i="17"/>
  <c r="AW26" i="17" s="1"/>
  <c r="AC26" i="17"/>
  <c r="AV26" i="17" s="1"/>
  <c r="AB26" i="17"/>
  <c r="AU26" i="17" s="1"/>
  <c r="AA26" i="17"/>
  <c r="AT26" i="17" s="1"/>
  <c r="Z26" i="17"/>
  <c r="AS26" i="17" s="1"/>
  <c r="Y26" i="17"/>
  <c r="AR26" i="17" s="1"/>
  <c r="X26" i="17"/>
  <c r="AQ26" i="17" s="1"/>
  <c r="T26" i="17"/>
  <c r="AM26" i="17" s="1"/>
  <c r="BF26" i="17" s="1"/>
  <c r="BF25" i="17"/>
  <c r="BE25" i="17"/>
  <c r="BD25" i="17"/>
  <c r="BC25" i="17"/>
  <c r="BB25" i="17"/>
  <c r="BA25" i="17"/>
  <c r="AZ25" i="17"/>
  <c r="AY25" i="17"/>
  <c r="AX25" i="17"/>
  <c r="AW25" i="17"/>
  <c r="AV25" i="17"/>
  <c r="AU25" i="17"/>
  <c r="AT25" i="17"/>
  <c r="AS25" i="17"/>
  <c r="AR25" i="17"/>
  <c r="AQ25" i="17"/>
  <c r="AP25" i="17"/>
  <c r="E25" i="17"/>
  <c r="F25" i="17" s="1"/>
  <c r="G25" i="17" s="1"/>
  <c r="H25" i="17" s="1"/>
  <c r="I25" i="17" s="1"/>
  <c r="J25" i="17" s="1"/>
  <c r="K25" i="17" s="1"/>
  <c r="L25" i="17" s="1"/>
  <c r="M25" i="17" s="1"/>
  <c r="N25" i="17" s="1"/>
  <c r="O25" i="17" s="1"/>
  <c r="P25" i="17" s="1"/>
  <c r="Q25" i="17" s="1"/>
  <c r="R25" i="17" s="1"/>
  <c r="S25" i="17" s="1"/>
  <c r="T25" i="17" s="1"/>
  <c r="AL24" i="17"/>
  <c r="BE24" i="17" s="1"/>
  <c r="AK24" i="17"/>
  <c r="BD24" i="17" s="1"/>
  <c r="AJ24" i="17"/>
  <c r="BC24" i="17" s="1"/>
  <c r="AI24" i="17"/>
  <c r="BB24" i="17" s="1"/>
  <c r="AH24" i="17"/>
  <c r="BA24" i="17" s="1"/>
  <c r="AG24" i="17"/>
  <c r="AZ24" i="17" s="1"/>
  <c r="AF24" i="17"/>
  <c r="AY24" i="17" s="1"/>
  <c r="AE24" i="17"/>
  <c r="AX24" i="17" s="1"/>
  <c r="AD24" i="17"/>
  <c r="AW24" i="17" s="1"/>
  <c r="AC24" i="17"/>
  <c r="AV24" i="17" s="1"/>
  <c r="AB24" i="17"/>
  <c r="AU24" i="17" s="1"/>
  <c r="AA24" i="17"/>
  <c r="AT24" i="17" s="1"/>
  <c r="Z24" i="17"/>
  <c r="AS24" i="17" s="1"/>
  <c r="Y24" i="17"/>
  <c r="AR24" i="17" s="1"/>
  <c r="X24" i="17"/>
  <c r="AQ24" i="17" s="1"/>
  <c r="W24" i="17"/>
  <c r="AP24" i="17" s="1"/>
  <c r="T24" i="17"/>
  <c r="AM24" i="17" s="1"/>
  <c r="BF24" i="17" s="1"/>
  <c r="BF23" i="17"/>
  <c r="BE23" i="17"/>
  <c r="BD23" i="17"/>
  <c r="BC23" i="17"/>
  <c r="BB23" i="17"/>
  <c r="BA23" i="17"/>
  <c r="AZ23" i="17"/>
  <c r="AY23" i="17"/>
  <c r="AX23" i="17"/>
  <c r="AW23" i="17"/>
  <c r="AV23" i="17"/>
  <c r="AU23" i="17"/>
  <c r="AT23" i="17"/>
  <c r="AS23" i="17"/>
  <c r="AR23" i="17"/>
  <c r="AQ23" i="17"/>
  <c r="AP23" i="17"/>
  <c r="BF22" i="17"/>
  <c r="BE22" i="17"/>
  <c r="BD22" i="17"/>
  <c r="BC22" i="17"/>
  <c r="BB22" i="17"/>
  <c r="BA22" i="17"/>
  <c r="AZ22" i="17"/>
  <c r="AY22" i="17"/>
  <c r="AX22" i="17"/>
  <c r="AW22" i="17"/>
  <c r="AV22" i="17"/>
  <c r="AU22" i="17"/>
  <c r="AT22" i="17"/>
  <c r="AS22" i="17"/>
  <c r="AR22" i="17"/>
  <c r="AQ22" i="17"/>
  <c r="AP22" i="17"/>
  <c r="BF21" i="17"/>
  <c r="BE21" i="17"/>
  <c r="BD21" i="17"/>
  <c r="BC21" i="17"/>
  <c r="BB21" i="17"/>
  <c r="BA21" i="17"/>
  <c r="AZ21" i="17"/>
  <c r="AY21" i="17"/>
  <c r="AX21" i="17"/>
  <c r="AW21" i="17"/>
  <c r="AV21" i="17"/>
  <c r="AU21" i="17"/>
  <c r="AT21" i="17"/>
  <c r="AS21" i="17"/>
  <c r="AR21" i="17"/>
  <c r="AQ21" i="17"/>
  <c r="AP21" i="17"/>
  <c r="BE20" i="17"/>
  <c r="AU20" i="17"/>
  <c r="BD20" i="17"/>
  <c r="S18" i="17"/>
  <c r="S19" i="17" s="1"/>
  <c r="AL19" i="17" s="1"/>
  <c r="BE19" i="17" s="1"/>
  <c r="R18" i="17"/>
  <c r="R19" i="17" s="1"/>
  <c r="AK19" i="17" s="1"/>
  <c r="BD19" i="17" s="1"/>
  <c r="Q18" i="17"/>
  <c r="Q19" i="17" s="1"/>
  <c r="AJ19" i="17" s="1"/>
  <c r="BC19" i="17" s="1"/>
  <c r="P18" i="17"/>
  <c r="P19" i="17" s="1"/>
  <c r="AI19" i="17" s="1"/>
  <c r="BB19" i="17" s="1"/>
  <c r="O18" i="17"/>
  <c r="O19" i="17" s="1"/>
  <c r="AH19" i="17" s="1"/>
  <c r="BA19" i="17" s="1"/>
  <c r="N18" i="17"/>
  <c r="AG18" i="17" s="1"/>
  <c r="M18" i="17"/>
  <c r="M19" i="17" s="1"/>
  <c r="AF19" i="17" s="1"/>
  <c r="AY19" i="17" s="1"/>
  <c r="L18" i="17"/>
  <c r="L19" i="17" s="1"/>
  <c r="AE19" i="17" s="1"/>
  <c r="AX19" i="17" s="1"/>
  <c r="K18" i="17"/>
  <c r="AD18" i="17" s="1"/>
  <c r="J18" i="17"/>
  <c r="J19" i="17" s="1"/>
  <c r="AC19" i="17" s="1"/>
  <c r="AV19" i="17" s="1"/>
  <c r="I18" i="17"/>
  <c r="I19" i="17" s="1"/>
  <c r="AB19" i="17" s="1"/>
  <c r="AU19" i="17" s="1"/>
  <c r="H18" i="17"/>
  <c r="G18" i="17"/>
  <c r="G19" i="17" s="1"/>
  <c r="Z19" i="17" s="1"/>
  <c r="AS19" i="17" s="1"/>
  <c r="F18" i="17"/>
  <c r="Y18" i="17" s="1"/>
  <c r="E18" i="17"/>
  <c r="D18" i="17"/>
  <c r="D19" i="17" s="1"/>
  <c r="W19" i="17" s="1"/>
  <c r="AP19" i="17" s="1"/>
  <c r="BF17" i="17"/>
  <c r="BE17" i="17"/>
  <c r="BD17" i="17"/>
  <c r="BC17" i="17"/>
  <c r="BB17" i="17"/>
  <c r="BA17" i="17"/>
  <c r="AZ17" i="17"/>
  <c r="AY17" i="17"/>
  <c r="AX17" i="17"/>
  <c r="AW17" i="17"/>
  <c r="AV17" i="17"/>
  <c r="AU17" i="17"/>
  <c r="AT17" i="17"/>
  <c r="AS17" i="17"/>
  <c r="AR17" i="17"/>
  <c r="AQ17" i="17"/>
  <c r="AP17" i="17"/>
  <c r="S17" i="17"/>
  <c r="R17" i="17"/>
  <c r="Q17" i="17"/>
  <c r="P17" i="17"/>
  <c r="O17" i="17"/>
  <c r="N17" i="17"/>
  <c r="M17" i="17"/>
  <c r="L17" i="17"/>
  <c r="K17" i="17"/>
  <c r="J17" i="17"/>
  <c r="I17" i="17"/>
  <c r="H17" i="17"/>
  <c r="G17" i="17"/>
  <c r="F17" i="17"/>
  <c r="E17" i="17"/>
  <c r="D17" i="17"/>
  <c r="BF16" i="17"/>
  <c r="BE16" i="17"/>
  <c r="BD16" i="17"/>
  <c r="BC16" i="17"/>
  <c r="BB16" i="17"/>
  <c r="BA16" i="17"/>
  <c r="AZ16" i="17"/>
  <c r="AY16" i="17"/>
  <c r="AX16" i="17"/>
  <c r="AW16" i="17"/>
  <c r="AV16" i="17"/>
  <c r="AU16" i="17"/>
  <c r="AT16" i="17"/>
  <c r="AS16" i="17"/>
  <c r="AR16" i="17"/>
  <c r="AQ16" i="17"/>
  <c r="AP16" i="17"/>
  <c r="Q16" i="17"/>
  <c r="O16" i="17"/>
  <c r="M16" i="17"/>
  <c r="K16" i="17"/>
  <c r="I16" i="17"/>
  <c r="G16" i="17"/>
  <c r="E16" i="17"/>
  <c r="D16" i="17"/>
  <c r="BF15" i="17"/>
  <c r="BE15" i="17"/>
  <c r="BD15" i="17"/>
  <c r="BC15" i="17"/>
  <c r="BB15" i="17"/>
  <c r="BA15" i="17"/>
  <c r="AZ15" i="17"/>
  <c r="AY15" i="17"/>
  <c r="AX15" i="17"/>
  <c r="AW15" i="17"/>
  <c r="AV15" i="17"/>
  <c r="AU15" i="17"/>
  <c r="AT15" i="17"/>
  <c r="AS15" i="17"/>
  <c r="AR15" i="17"/>
  <c r="AQ15" i="17"/>
  <c r="AP15" i="17"/>
  <c r="T15" i="17"/>
  <c r="AL14" i="17"/>
  <c r="BE14" i="17" s="1"/>
  <c r="W14" i="17"/>
  <c r="AP14" i="17" s="1"/>
  <c r="T14" i="17"/>
  <c r="P14" i="17"/>
  <c r="AI14" i="17" s="1"/>
  <c r="BB14" i="17" s="1"/>
  <c r="AU13" i="17"/>
  <c r="BE13" i="17"/>
  <c r="T13" i="17"/>
  <c r="R13" i="17"/>
  <c r="P13" i="17"/>
  <c r="F13" i="17"/>
  <c r="AL12" i="17"/>
  <c r="W12" i="17"/>
  <c r="T12" i="17"/>
  <c r="M79" i="17" s="1"/>
  <c r="AL11" i="17"/>
  <c r="W11" i="17"/>
  <c r="T11" i="17"/>
  <c r="M80" i="17" s="1"/>
  <c r="F11" i="17"/>
  <c r="Y11" i="17" s="1"/>
  <c r="AL9" i="17"/>
  <c r="AL10" i="17" s="1"/>
  <c r="W9" i="17"/>
  <c r="W10" i="17" s="1"/>
  <c r="T9" i="17"/>
  <c r="AM9" i="17" s="1"/>
  <c r="AM10" i="17" s="1"/>
  <c r="AL8" i="17"/>
  <c r="AJ8" i="17"/>
  <c r="W8" i="17"/>
  <c r="T8" i="17"/>
  <c r="R8" i="17"/>
  <c r="AK8" i="17" s="1"/>
  <c r="T7" i="17"/>
  <c r="AM7" i="17" s="1"/>
  <c r="S7" i="17"/>
  <c r="AL7" i="17" s="1"/>
  <c r="AL6" i="17"/>
  <c r="W6" i="17"/>
  <c r="T6" i="17"/>
  <c r="AM6" i="17" s="1"/>
  <c r="AH6" i="17"/>
  <c r="BB5" i="17"/>
  <c r="BA5" i="17"/>
  <c r="AQ5" i="17"/>
  <c r="AP5" i="17"/>
  <c r="T5" i="17"/>
  <c r="AM5" i="17" s="1"/>
  <c r="BF5" i="17" s="1"/>
  <c r="T4" i="17"/>
  <c r="N8" i="17" l="1"/>
  <c r="AG8" i="17" s="1"/>
  <c r="Z18" i="17"/>
  <c r="T10" i="17"/>
  <c r="W18" i="17"/>
  <c r="AP18" i="17" s="1"/>
  <c r="AL18" i="17"/>
  <c r="BE18" i="17" s="1"/>
  <c r="J14" i="17"/>
  <c r="AJ18" i="17"/>
  <c r="BC18" i="17" s="1"/>
  <c r="AI18" i="17"/>
  <c r="R7" i="17"/>
  <c r="AK7" i="17" s="1"/>
  <c r="AF18" i="17"/>
  <c r="AE18" i="17"/>
  <c r="G77" i="18"/>
  <c r="P8" i="17"/>
  <c r="AI8" i="17" s="1"/>
  <c r="AC18" i="17"/>
  <c r="J9" i="17"/>
  <c r="AB18" i="17"/>
  <c r="AU18" i="17" s="1"/>
  <c r="M77" i="17"/>
  <c r="Q33" i="18"/>
  <c r="Q36" i="18" s="1"/>
  <c r="I7" i="17"/>
  <c r="G77" i="17" s="1"/>
  <c r="L6" i="17"/>
  <c r="K6" i="17"/>
  <c r="H6" i="17"/>
  <c r="J77" i="17"/>
  <c r="N12" i="17"/>
  <c r="X12" i="17"/>
  <c r="AQ12" i="17" s="1"/>
  <c r="J80" i="17"/>
  <c r="M12" i="17"/>
  <c r="I79" i="17" s="1"/>
  <c r="J12" i="17"/>
  <c r="I12" i="17"/>
  <c r="G79" i="17" s="1"/>
  <c r="N11" i="17"/>
  <c r="AG11" i="17" s="1"/>
  <c r="AZ11" i="17" s="1"/>
  <c r="M11" i="17"/>
  <c r="P10" i="18"/>
  <c r="H10" i="18"/>
  <c r="G6" i="17"/>
  <c r="L11" i="17"/>
  <c r="AE11" i="17" s="1"/>
  <c r="AX11" i="17" s="1"/>
  <c r="K11" i="17"/>
  <c r="H80" i="17" s="1"/>
  <c r="G12" i="17"/>
  <c r="F79" i="17" s="1"/>
  <c r="H11" i="17"/>
  <c r="AA11" i="17" s="1"/>
  <c r="AT11" i="17" s="1"/>
  <c r="G11" i="17"/>
  <c r="Z11" i="17" s="1"/>
  <c r="AS11" i="17" s="1"/>
  <c r="N9" i="17"/>
  <c r="L14" i="17"/>
  <c r="K9" i="17"/>
  <c r="M15" i="17"/>
  <c r="L15" i="17"/>
  <c r="F80" i="18"/>
  <c r="Z11" i="18"/>
  <c r="AS11" i="18" s="1"/>
  <c r="K15" i="17"/>
  <c r="L12" i="17"/>
  <c r="AE12" i="17" s="1"/>
  <c r="AX12" i="17" s="1"/>
  <c r="M9" i="17"/>
  <c r="N6" i="17"/>
  <c r="AG6" i="17" s="1"/>
  <c r="Q10" i="17"/>
  <c r="R10" i="17" s="1"/>
  <c r="H7" i="17"/>
  <c r="AA7" i="17" s="1"/>
  <c r="AT7" i="17" s="1"/>
  <c r="J15" i="17"/>
  <c r="K12" i="17"/>
  <c r="H79" i="17" s="1"/>
  <c r="L9" i="17"/>
  <c r="M6" i="17"/>
  <c r="AF6" i="17" s="1"/>
  <c r="AY6" i="17" s="1"/>
  <c r="I15" i="17"/>
  <c r="F9" i="17"/>
  <c r="N14" i="17"/>
  <c r="AG14" i="17" s="1"/>
  <c r="AZ14" i="17" s="1"/>
  <c r="H12" i="17"/>
  <c r="J6" i="17"/>
  <c r="H15" i="17"/>
  <c r="R9" i="17"/>
  <c r="AK9" i="17" s="1"/>
  <c r="AK10" i="17" s="1"/>
  <c r="BD10" i="17" s="1"/>
  <c r="M14" i="17"/>
  <c r="M8" i="17"/>
  <c r="G15" i="17"/>
  <c r="L8" i="17"/>
  <c r="AQ18" i="17"/>
  <c r="G14" i="17"/>
  <c r="I14" i="17"/>
  <c r="J11" i="17"/>
  <c r="K8" i="17"/>
  <c r="I11" i="17"/>
  <c r="G80" i="17" s="1"/>
  <c r="J8" i="17"/>
  <c r="AC8" i="17" s="1"/>
  <c r="P9" i="17"/>
  <c r="AI9" i="17" s="1"/>
  <c r="AI10" i="17" s="1"/>
  <c r="BB10" i="17" s="1"/>
  <c r="N7" i="17"/>
  <c r="AG7" i="17" s="1"/>
  <c r="AZ7" i="17" s="1"/>
  <c r="L77" i="17"/>
  <c r="F77" i="18"/>
  <c r="I8" i="17"/>
  <c r="G9" i="17"/>
  <c r="M7" i="17"/>
  <c r="AF10" i="18"/>
  <c r="AY10" i="18" s="1"/>
  <c r="AH7" i="17"/>
  <c r="AW18" i="17"/>
  <c r="G8" i="17"/>
  <c r="L7" i="17"/>
  <c r="AE7" i="17" s="1"/>
  <c r="AX7" i="17" s="1"/>
  <c r="K77" i="17"/>
  <c r="R12" i="17"/>
  <c r="AK12" i="17" s="1"/>
  <c r="BD12" i="17" s="1"/>
  <c r="E77" i="17"/>
  <c r="G7" i="17"/>
  <c r="K7" i="17"/>
  <c r="H77" i="17" s="1"/>
  <c r="N15" i="17"/>
  <c r="E33" i="18"/>
  <c r="E36" i="18" s="1"/>
  <c r="G28" i="17"/>
  <c r="G30" i="17" s="1"/>
  <c r="N28" i="17"/>
  <c r="N30" i="17" s="1"/>
  <c r="E30" i="17"/>
  <c r="O30" i="17"/>
  <c r="E65" i="15"/>
  <c r="E72" i="15" s="1"/>
  <c r="D72" i="15"/>
  <c r="M28" i="17"/>
  <c r="M30" i="17" s="1"/>
  <c r="L28" i="17"/>
  <c r="L30" i="17" s="1"/>
  <c r="K28" i="17"/>
  <c r="K30" i="17" s="1"/>
  <c r="F28" i="17"/>
  <c r="F30" i="17" s="1"/>
  <c r="J28" i="17"/>
  <c r="J30" i="17" s="1"/>
  <c r="P30" i="17"/>
  <c r="I28" i="17"/>
  <c r="I30" i="17" s="1"/>
  <c r="G68" i="15"/>
  <c r="H28" i="17"/>
  <c r="H30" i="17" s="1"/>
  <c r="I116" i="18"/>
  <c r="I63" i="15"/>
  <c r="H66" i="15"/>
  <c r="H69" i="15"/>
  <c r="H67" i="15"/>
  <c r="C78" i="15"/>
  <c r="C79" i="15"/>
  <c r="C77" i="15"/>
  <c r="C82" i="15"/>
  <c r="C83" i="15"/>
  <c r="C85" i="15"/>
  <c r="C84" i="15"/>
  <c r="D71" i="15"/>
  <c r="D70" i="15"/>
  <c r="D73" i="15"/>
  <c r="G116" i="18"/>
  <c r="Q116" i="18"/>
  <c r="E116" i="18"/>
  <c r="T116" i="18"/>
  <c r="N116" i="18"/>
  <c r="D116" i="18"/>
  <c r="P116" i="18"/>
  <c r="L116" i="18"/>
  <c r="K116" i="18"/>
  <c r="F116" i="18"/>
  <c r="J116" i="18"/>
  <c r="O33" i="18"/>
  <c r="O36" i="18" s="1"/>
  <c r="AD14" i="18"/>
  <c r="AW14" i="18" s="1"/>
  <c r="AK10" i="18"/>
  <c r="BD10" i="18" s="1"/>
  <c r="AB9" i="18"/>
  <c r="AB10" i="18" s="1"/>
  <c r="AU10" i="18" s="1"/>
  <c r="AD7" i="18"/>
  <c r="AW7" i="18" s="1"/>
  <c r="H77" i="18"/>
  <c r="AH10" i="18"/>
  <c r="BA10" i="18" s="1"/>
  <c r="Y10" i="18"/>
  <c r="AR10" i="18" s="1"/>
  <c r="AM10" i="18"/>
  <c r="BF10" i="18" s="1"/>
  <c r="AD9" i="18"/>
  <c r="Z7" i="18"/>
  <c r="AS7" i="18" s="1"/>
  <c r="D7" i="18"/>
  <c r="D77" i="18" s="1"/>
  <c r="R116" i="18"/>
  <c r="X10" i="18"/>
  <c r="AQ10" i="18" s="1"/>
  <c r="H116" i="18"/>
  <c r="T19" i="18"/>
  <c r="AM19" i="18" s="1"/>
  <c r="BF19" i="18" s="1"/>
  <c r="BF18" i="18"/>
  <c r="Z14" i="18"/>
  <c r="AS14" i="18" s="1"/>
  <c r="AD8" i="18"/>
  <c r="Z12" i="18"/>
  <c r="AS12" i="18" s="1"/>
  <c r="AF6" i="18"/>
  <c r="AY6" i="18" s="1"/>
  <c r="AC9" i="18"/>
  <c r="Z8" i="18"/>
  <c r="R30" i="18"/>
  <c r="S28" i="18"/>
  <c r="AB6" i="18"/>
  <c r="AU6" i="18" s="1"/>
  <c r="Z6" i="18"/>
  <c r="AS6" i="18" s="1"/>
  <c r="AD12" i="18"/>
  <c r="AW12" i="18" s="1"/>
  <c r="AD11" i="18"/>
  <c r="AW11" i="18" s="1"/>
  <c r="E114" i="17"/>
  <c r="D114" i="17"/>
  <c r="F114" i="17"/>
  <c r="M114" i="17"/>
  <c r="K114" i="17"/>
  <c r="O114" i="17"/>
  <c r="T114" i="17"/>
  <c r="BB7" i="17"/>
  <c r="AP10" i="17"/>
  <c r="BF10" i="17"/>
  <c r="BE10" i="17"/>
  <c r="BC6" i="17"/>
  <c r="BA6" i="17"/>
  <c r="AR18" i="17"/>
  <c r="AT18" i="17"/>
  <c r="AB9" i="17"/>
  <c r="AB10" i="17" s="1"/>
  <c r="AU10" i="17" s="1"/>
  <c r="Z6" i="17"/>
  <c r="AS6" i="17" s="1"/>
  <c r="BD7" i="17"/>
  <c r="AS13" i="17"/>
  <c r="T115" i="17"/>
  <c r="AX13" i="17"/>
  <c r="E19" i="17"/>
  <c r="X19" i="17" s="1"/>
  <c r="AQ19" i="17" s="1"/>
  <c r="AV7" i="17"/>
  <c r="AY13" i="17"/>
  <c r="F19" i="17"/>
  <c r="Y19" i="17" s="1"/>
  <c r="AR19" i="17" s="1"/>
  <c r="I80" i="17"/>
  <c r="AZ13" i="17"/>
  <c r="H19" i="17"/>
  <c r="AA19" i="17" s="1"/>
  <c r="AT19" i="17" s="1"/>
  <c r="BF13" i="17"/>
  <c r="K19" i="17"/>
  <c r="AD19" i="17" s="1"/>
  <c r="AW19" i="17" s="1"/>
  <c r="K80" i="17"/>
  <c r="AV13" i="17"/>
  <c r="BC12" i="17"/>
  <c r="H114" i="17"/>
  <c r="E10" i="17"/>
  <c r="F10" i="17" s="1"/>
  <c r="I114" i="17"/>
  <c r="AP12" i="17"/>
  <c r="AH14" i="17"/>
  <c r="BA14" i="17" s="1"/>
  <c r="J114" i="17"/>
  <c r="BE12" i="17"/>
  <c r="L114" i="17"/>
  <c r="BF7" i="17"/>
  <c r="AS18" i="17"/>
  <c r="P114" i="17"/>
  <c r="AE8" i="17"/>
  <c r="O10" i="17"/>
  <c r="K79" i="17"/>
  <c r="BA7" i="17"/>
  <c r="Q114" i="17"/>
  <c r="R114" i="17"/>
  <c r="AG12" i="17"/>
  <c r="AZ12" i="17" s="1"/>
  <c r="Z9" i="17"/>
  <c r="Z10" i="17" s="1"/>
  <c r="AS10" i="17" s="1"/>
  <c r="AF8" i="17"/>
  <c r="AF7" i="17"/>
  <c r="AY7" i="17" s="1"/>
  <c r="AB14" i="17"/>
  <c r="AU14" i="17" s="1"/>
  <c r="Z7" i="17"/>
  <c r="AS7" i="17" s="1"/>
  <c r="AD6" i="17"/>
  <c r="AW6" i="17" s="1"/>
  <c r="AD12" i="17"/>
  <c r="AW12" i="17" s="1"/>
  <c r="AE9" i="17"/>
  <c r="AE10" i="17" s="1"/>
  <c r="AX10" i="17" s="1"/>
  <c r="AC9" i="17"/>
  <c r="AC10" i="17" s="1"/>
  <c r="AV10" i="17" s="1"/>
  <c r="AD14" i="17"/>
  <c r="AW14" i="17" s="1"/>
  <c r="AB6" i="17"/>
  <c r="AU6" i="17" s="1"/>
  <c r="Y9" i="17"/>
  <c r="AA8" i="17"/>
  <c r="AH9" i="17"/>
  <c r="AH10" i="17" s="1"/>
  <c r="BA10" i="17" s="1"/>
  <c r="BA13" i="17"/>
  <c r="Z14" i="17"/>
  <c r="AS14" i="17" s="1"/>
  <c r="AY18" i="17"/>
  <c r="Q29" i="17"/>
  <c r="AF9" i="17"/>
  <c r="AF10" i="17" s="1"/>
  <c r="AY10" i="17" s="1"/>
  <c r="AP6" i="17"/>
  <c r="R6" i="17"/>
  <c r="AK6" i="17" s="1"/>
  <c r="BD6" i="17" s="1"/>
  <c r="AQ7" i="17"/>
  <c r="AM8" i="17"/>
  <c r="AJ9" i="17"/>
  <c r="X11" i="17"/>
  <c r="AQ11" i="17" s="1"/>
  <c r="AF11" i="17"/>
  <c r="AY11" i="17" s="1"/>
  <c r="BE11" i="17"/>
  <c r="AB12" i="17"/>
  <c r="AU12" i="17" s="1"/>
  <c r="BB13" i="17"/>
  <c r="F15" i="17"/>
  <c r="T17" i="17"/>
  <c r="BA18" i="17"/>
  <c r="R27" i="17"/>
  <c r="F8" i="17"/>
  <c r="Y8" i="17" s="1"/>
  <c r="AB11" i="17"/>
  <c r="AU11" i="17" s="1"/>
  <c r="BC11" i="17"/>
  <c r="O29" i="17"/>
  <c r="P27" i="17"/>
  <c r="BD13" i="17"/>
  <c r="BB18" i="17"/>
  <c r="AE6" i="17"/>
  <c r="AX6" i="17" s="1"/>
  <c r="BE6" i="17"/>
  <c r="AZ6" i="17"/>
  <c r="X9" i="17"/>
  <c r="P6" i="17"/>
  <c r="AI6" i="17" s="1"/>
  <c r="BB6" i="17" s="1"/>
  <c r="AX18" i="17"/>
  <c r="AH8" i="17"/>
  <c r="AD9" i="17"/>
  <c r="F12" i="17"/>
  <c r="Y12" i="17" s="1"/>
  <c r="AR12" i="17" s="1"/>
  <c r="AF12" i="17"/>
  <c r="AY12" i="17" s="1"/>
  <c r="AV18" i="17"/>
  <c r="X6" i="17"/>
  <c r="AQ6" i="17" s="1"/>
  <c r="AA12" i="17"/>
  <c r="AT12" i="17" s="1"/>
  <c r="X14" i="17"/>
  <c r="AQ14" i="17" s="1"/>
  <c r="AG9" i="17"/>
  <c r="AG10" i="17" s="1"/>
  <c r="AZ10" i="17" s="1"/>
  <c r="AC11" i="17"/>
  <c r="AV11" i="17" s="1"/>
  <c r="AC12" i="17"/>
  <c r="AV12" i="17" s="1"/>
  <c r="F14" i="17"/>
  <c r="Y14" i="17" s="1"/>
  <c r="AR14" i="17" s="1"/>
  <c r="AP11" i="17"/>
  <c r="AA14" i="17"/>
  <c r="AT14" i="17" s="1"/>
  <c r="X8" i="17"/>
  <c r="AM12" i="17"/>
  <c r="BF12" i="17" s="1"/>
  <c r="AM14" i="17"/>
  <c r="BF14" i="17" s="1"/>
  <c r="N19" i="17"/>
  <c r="AG19" i="17" s="1"/>
  <c r="AZ19" i="17" s="1"/>
  <c r="AZ18" i="17"/>
  <c r="T100" i="17"/>
  <c r="T112" i="17" s="1"/>
  <c r="T18" i="17"/>
  <c r="AM18" i="17" s="1"/>
  <c r="AR11" i="17"/>
  <c r="AB7" i="17"/>
  <c r="AU7" i="17" s="1"/>
  <c r="P11" i="17"/>
  <c r="AI11" i="17" s="1"/>
  <c r="BB11" i="17" s="1"/>
  <c r="AH12" i="17"/>
  <c r="BA12" i="17" s="1"/>
  <c r="Z8" i="17"/>
  <c r="BF6" i="17"/>
  <c r="AE14" i="17"/>
  <c r="AX14" i="17" s="1"/>
  <c r="F6" i="17"/>
  <c r="R11" i="17"/>
  <c r="AK11" i="17" s="1"/>
  <c r="BD11" i="17" s="1"/>
  <c r="P12" i="17"/>
  <c r="AI12" i="17" s="1"/>
  <c r="BB12" i="17" s="1"/>
  <c r="BC13" i="17"/>
  <c r="AW13" i="17"/>
  <c r="AT13" i="17"/>
  <c r="AR13" i="17"/>
  <c r="AQ13" i="17"/>
  <c r="F7" i="17"/>
  <c r="Y7" i="17" s="1"/>
  <c r="AR7" i="17" s="1"/>
  <c r="BE7" i="17"/>
  <c r="AB8" i="17"/>
  <c r="AA9" i="17"/>
  <c r="AM11" i="17"/>
  <c r="BF11" i="17" s="1"/>
  <c r="AP13" i="17"/>
  <c r="AJ14" i="17"/>
  <c r="BC14" i="17" s="1"/>
  <c r="BA11" i="17"/>
  <c r="AF14" i="17"/>
  <c r="AY14" i="17" s="1"/>
  <c r="AC14" i="17"/>
  <c r="AV14" i="17" s="1"/>
  <c r="E29" i="17"/>
  <c r="Q30" i="17"/>
  <c r="T101" i="17"/>
  <c r="F27" i="17"/>
  <c r="R30" i="17"/>
  <c r="S28" i="17"/>
  <c r="O115" i="17"/>
  <c r="N114" i="17"/>
  <c r="N116" i="17" s="1"/>
  <c r="P115" i="17"/>
  <c r="Q115" i="17"/>
  <c r="R115" i="17"/>
  <c r="S115" i="17"/>
  <c r="D115" i="17"/>
  <c r="E115" i="17"/>
  <c r="F115" i="17"/>
  <c r="G115" i="17"/>
  <c r="G116" i="17" s="1"/>
  <c r="H115" i="17"/>
  <c r="I115" i="17"/>
  <c r="J115" i="17"/>
  <c r="K115" i="17"/>
  <c r="L115" i="17"/>
  <c r="M115" i="17"/>
  <c r="D16" i="14"/>
  <c r="C16" i="14"/>
  <c r="F80" i="17" l="1"/>
  <c r="F77" i="17"/>
  <c r="Z12" i="17"/>
  <c r="AS12" i="17" s="1"/>
  <c r="AD11" i="17"/>
  <c r="AW11" i="17" s="1"/>
  <c r="AD7" i="17"/>
  <c r="AW7" i="17" s="1"/>
  <c r="P10" i="17"/>
  <c r="I10" i="17"/>
  <c r="J10" i="17"/>
  <c r="K10" i="17"/>
  <c r="N10" i="17"/>
  <c r="L10" i="17"/>
  <c r="M10" i="17"/>
  <c r="G10" i="17"/>
  <c r="H10" i="17"/>
  <c r="AD8" i="17"/>
  <c r="D7" i="17"/>
  <c r="D77" i="17" s="1"/>
  <c r="I77" i="17"/>
  <c r="F65" i="15"/>
  <c r="F72" i="15" s="1"/>
  <c r="E71" i="15"/>
  <c r="O33" i="17"/>
  <c r="O36" i="17" s="1"/>
  <c r="E70" i="15"/>
  <c r="E73" i="15"/>
  <c r="E33" i="17"/>
  <c r="E36" i="17" s="1"/>
  <c r="H68" i="15"/>
  <c r="J63" i="15"/>
  <c r="I69" i="15"/>
  <c r="I66" i="15"/>
  <c r="I67" i="15"/>
  <c r="C86" i="15"/>
  <c r="T116" i="17"/>
  <c r="O116" i="17"/>
  <c r="L116" i="17"/>
  <c r="S30" i="18"/>
  <c r="T28" i="18"/>
  <c r="T30" i="18" s="1"/>
  <c r="AD10" i="18"/>
  <c r="AW10" i="18" s="1"/>
  <c r="AC10" i="18"/>
  <c r="AV10" i="18" s="1"/>
  <c r="W7" i="18"/>
  <c r="AP7" i="18" s="1"/>
  <c r="E116" i="17"/>
  <c r="D116" i="17"/>
  <c r="F116" i="17"/>
  <c r="M116" i="17"/>
  <c r="K116" i="17"/>
  <c r="I116" i="17"/>
  <c r="P116" i="17"/>
  <c r="H116" i="17"/>
  <c r="R116" i="17"/>
  <c r="Q116" i="17"/>
  <c r="J116" i="17"/>
  <c r="AC6" i="17"/>
  <c r="AV6" i="17" s="1"/>
  <c r="AD10" i="17"/>
  <c r="AW10" i="17" s="1"/>
  <c r="AA6" i="17"/>
  <c r="AT6" i="17" s="1"/>
  <c r="AJ10" i="17"/>
  <c r="BC10" i="17" s="1"/>
  <c r="S30" i="17"/>
  <c r="T28" i="17"/>
  <c r="T30" i="17" s="1"/>
  <c r="X10" i="17"/>
  <c r="AQ10" i="17" s="1"/>
  <c r="Q33" i="17"/>
  <c r="Q36" i="17" s="1"/>
  <c r="Y6" i="17"/>
  <c r="AR6" i="17" s="1"/>
  <c r="AA10" i="17"/>
  <c r="AT10" i="17" s="1"/>
  <c r="T19" i="17"/>
  <c r="AM19" i="17" s="1"/>
  <c r="BF19" i="17" s="1"/>
  <c r="BF18" i="17"/>
  <c r="Y10" i="17"/>
  <c r="AR10" i="17" s="1"/>
  <c r="X20" i="16"/>
  <c r="AQ20" i="16" s="1"/>
  <c r="Y20" i="16"/>
  <c r="Z20" i="16"/>
  <c r="AA20" i="16"/>
  <c r="AT20" i="16" s="1"/>
  <c r="AB20" i="16"/>
  <c r="AU20" i="16" s="1"/>
  <c r="AC20" i="16"/>
  <c r="AV20" i="16" s="1"/>
  <c r="AD20" i="16"/>
  <c r="AE20" i="16"/>
  <c r="AF20" i="16"/>
  <c r="AY20" i="16" s="1"/>
  <c r="AG20" i="16"/>
  <c r="AH20" i="16"/>
  <c r="AI20" i="16"/>
  <c r="AJ20" i="16"/>
  <c r="BC20" i="16" s="1"/>
  <c r="AK20" i="16"/>
  <c r="BD20" i="16" s="1"/>
  <c r="AL20" i="16"/>
  <c r="BE20" i="16" s="1"/>
  <c r="AM20" i="16"/>
  <c r="BF20" i="16" s="1"/>
  <c r="W20" i="16"/>
  <c r="AP20" i="16" s="1"/>
  <c r="X5" i="16"/>
  <c r="Y5" i="16"/>
  <c r="Z5" i="16"/>
  <c r="AS5" i="16" s="1"/>
  <c r="AA5" i="16"/>
  <c r="AT5" i="16" s="1"/>
  <c r="AB5" i="16"/>
  <c r="AU5" i="16" s="1"/>
  <c r="AC5" i="16"/>
  <c r="AD5" i="16"/>
  <c r="AW5" i="16" s="1"/>
  <c r="AE5" i="16"/>
  <c r="AX5" i="16" s="1"/>
  <c r="AF5" i="16"/>
  <c r="AY5" i="16" s="1"/>
  <c r="AG5" i="16"/>
  <c r="AZ5" i="16" s="1"/>
  <c r="AH5" i="16"/>
  <c r="BA5" i="16" s="1"/>
  <c r="AI5" i="16"/>
  <c r="AJ5" i="16"/>
  <c r="BC5" i="16" s="1"/>
  <c r="AK5" i="16"/>
  <c r="BD5" i="16" s="1"/>
  <c r="AL5" i="16"/>
  <c r="BE5" i="16" s="1"/>
  <c r="W5" i="16"/>
  <c r="AP5" i="16" s="1"/>
  <c r="BB5" i="16"/>
  <c r="X5" i="10"/>
  <c r="Y5" i="10"/>
  <c r="Z5" i="10"/>
  <c r="AA5" i="10"/>
  <c r="AB5" i="10"/>
  <c r="AC5" i="10"/>
  <c r="AD5" i="10"/>
  <c r="AE5" i="10"/>
  <c r="AF5" i="10"/>
  <c r="AG5" i="10"/>
  <c r="AH5" i="10"/>
  <c r="AI5" i="10"/>
  <c r="AJ5" i="10"/>
  <c r="AK5" i="10"/>
  <c r="AL5" i="10"/>
  <c r="W5" i="10"/>
  <c r="AJ4" i="16"/>
  <c r="BC4" i="16" s="1"/>
  <c r="AH4" i="16"/>
  <c r="BA4" i="16" s="1"/>
  <c r="AF4" i="16"/>
  <c r="AY4" i="16" s="1"/>
  <c r="AD4" i="16"/>
  <c r="AW4" i="16" s="1"/>
  <c r="AB4" i="16"/>
  <c r="AU4" i="16" s="1"/>
  <c r="Z4" i="16"/>
  <c r="AS4" i="16" s="1"/>
  <c r="X4" i="16"/>
  <c r="AQ4" i="16" s="1"/>
  <c r="W4" i="16"/>
  <c r="AP4" i="16" s="1"/>
  <c r="AO13" i="16"/>
  <c r="BE13" i="16" s="1"/>
  <c r="AO12" i="16"/>
  <c r="AO11" i="16"/>
  <c r="AO10" i="16"/>
  <c r="AO9" i="16"/>
  <c r="AO8" i="16"/>
  <c r="AO7" i="16"/>
  <c r="AO6" i="16"/>
  <c r="R28" i="16"/>
  <c r="Q28" i="16"/>
  <c r="P28" i="16"/>
  <c r="O28" i="16"/>
  <c r="N28" i="16"/>
  <c r="M28" i="16"/>
  <c r="L28" i="16"/>
  <c r="K28" i="16"/>
  <c r="H28" i="16"/>
  <c r="J28" i="16" s="1"/>
  <c r="G28" i="16"/>
  <c r="I28" i="16" s="1"/>
  <c r="F28" i="16"/>
  <c r="E28" i="16"/>
  <c r="Q27" i="16"/>
  <c r="O27" i="16"/>
  <c r="M27" i="16"/>
  <c r="K27" i="16"/>
  <c r="E27" i="16"/>
  <c r="E87" i="16" s="1"/>
  <c r="Q15" i="16"/>
  <c r="O15" i="16"/>
  <c r="P15" i="16" s="1"/>
  <c r="M15" i="16"/>
  <c r="K15" i="16"/>
  <c r="I15" i="16"/>
  <c r="G15" i="16"/>
  <c r="E15" i="16"/>
  <c r="K14" i="16"/>
  <c r="AD14" i="16" s="1"/>
  <c r="AW14" i="16" s="1"/>
  <c r="G14" i="16"/>
  <c r="E14" i="16"/>
  <c r="Q12" i="16"/>
  <c r="K79" i="16" s="1"/>
  <c r="O12" i="16"/>
  <c r="J79" i="16" s="1"/>
  <c r="M12" i="16"/>
  <c r="I79" i="16" s="1"/>
  <c r="K12" i="16"/>
  <c r="H79" i="16" s="1"/>
  <c r="I12" i="16"/>
  <c r="G12" i="16"/>
  <c r="F79" i="16" s="1"/>
  <c r="E12" i="16"/>
  <c r="E79" i="16" s="1"/>
  <c r="Q11" i="16"/>
  <c r="AJ11" i="16" s="1"/>
  <c r="O11" i="16"/>
  <c r="P11" i="16" s="1"/>
  <c r="AI11" i="16" s="1"/>
  <c r="M11" i="16"/>
  <c r="I80" i="16" s="1"/>
  <c r="K11" i="16"/>
  <c r="AD11" i="16" s="1"/>
  <c r="I11" i="16"/>
  <c r="G80" i="16" s="1"/>
  <c r="G11" i="16"/>
  <c r="F80" i="16" s="1"/>
  <c r="E11" i="16"/>
  <c r="E80" i="16" s="1"/>
  <c r="Q10" i="16"/>
  <c r="R10" i="16" s="1"/>
  <c r="O10" i="16"/>
  <c r="P10" i="16" s="1"/>
  <c r="M10" i="16"/>
  <c r="N10" i="16" s="1"/>
  <c r="K10" i="16"/>
  <c r="L10" i="16" s="1"/>
  <c r="I10" i="16"/>
  <c r="J10" i="16" s="1"/>
  <c r="G10" i="16"/>
  <c r="H10" i="16" s="1"/>
  <c r="E10" i="16"/>
  <c r="F10" i="16" s="1"/>
  <c r="Q9" i="16"/>
  <c r="AJ9" i="16" s="1"/>
  <c r="O9" i="16"/>
  <c r="M9" i="16"/>
  <c r="K9" i="16"/>
  <c r="I9" i="16"/>
  <c r="G9" i="16"/>
  <c r="E9" i="16"/>
  <c r="X9" i="16" s="1"/>
  <c r="X10" i="16" s="1"/>
  <c r="Q8" i="16"/>
  <c r="R8" i="16" s="1"/>
  <c r="O8" i="16"/>
  <c r="P8" i="16" s="1"/>
  <c r="AI8" i="16" s="1"/>
  <c r="M8" i="16"/>
  <c r="N8" i="16" s="1"/>
  <c r="K8" i="16"/>
  <c r="L8" i="16" s="1"/>
  <c r="I8" i="16"/>
  <c r="J8" i="16" s="1"/>
  <c r="G8" i="16"/>
  <c r="F76" i="16" s="1"/>
  <c r="E8" i="16"/>
  <c r="F8" i="16" s="1"/>
  <c r="Y8" i="16" s="1"/>
  <c r="Q7" i="16"/>
  <c r="AJ7" i="16" s="1"/>
  <c r="O7" i="16"/>
  <c r="P7" i="16" s="1"/>
  <c r="M7" i="16"/>
  <c r="N7" i="16" s="1"/>
  <c r="AG7" i="16" s="1"/>
  <c r="K7" i="16"/>
  <c r="L7" i="16" s="1"/>
  <c r="I7" i="16"/>
  <c r="J7" i="16" s="1"/>
  <c r="G7" i="16"/>
  <c r="H7" i="16" s="1"/>
  <c r="E7" i="16"/>
  <c r="F7" i="16" s="1"/>
  <c r="Q6" i="16"/>
  <c r="O6" i="16"/>
  <c r="AH6" i="16" s="1"/>
  <c r="M6" i="16"/>
  <c r="K6" i="16"/>
  <c r="AD6" i="16" s="1"/>
  <c r="I6" i="16"/>
  <c r="AB6" i="16" s="1"/>
  <c r="G6" i="16"/>
  <c r="E6" i="16"/>
  <c r="D78" i="16"/>
  <c r="L80" i="16"/>
  <c r="D80" i="16"/>
  <c r="L79" i="16"/>
  <c r="G79" i="16"/>
  <c r="D79" i="16"/>
  <c r="L76" i="16"/>
  <c r="E76" i="16"/>
  <c r="D76" i="16"/>
  <c r="C119" i="16"/>
  <c r="C115" i="16"/>
  <c r="N115" i="16" s="1"/>
  <c r="C114" i="16"/>
  <c r="I114" i="16" s="1"/>
  <c r="S101" i="16"/>
  <c r="R101" i="16"/>
  <c r="Q101" i="16"/>
  <c r="P101" i="16"/>
  <c r="O101" i="16"/>
  <c r="N101" i="16"/>
  <c r="M101" i="16"/>
  <c r="L101" i="16"/>
  <c r="K101" i="16"/>
  <c r="J101" i="16"/>
  <c r="I101" i="16"/>
  <c r="H101" i="16"/>
  <c r="G101" i="16"/>
  <c r="F101" i="16"/>
  <c r="E101" i="16"/>
  <c r="D101" i="16"/>
  <c r="C101" i="16"/>
  <c r="S100" i="16"/>
  <c r="S112" i="16" s="1"/>
  <c r="R100" i="16"/>
  <c r="R112" i="16" s="1"/>
  <c r="Q100" i="16"/>
  <c r="Q112" i="16" s="1"/>
  <c r="P100" i="16"/>
  <c r="P112" i="16" s="1"/>
  <c r="O100" i="16"/>
  <c r="O112" i="16" s="1"/>
  <c r="N100" i="16"/>
  <c r="N112" i="16" s="1"/>
  <c r="M100" i="16"/>
  <c r="M112" i="16" s="1"/>
  <c r="L100" i="16"/>
  <c r="L112" i="16" s="1"/>
  <c r="K100" i="16"/>
  <c r="K112" i="16" s="1"/>
  <c r="J100" i="16"/>
  <c r="J112" i="16" s="1"/>
  <c r="I100" i="16"/>
  <c r="I112" i="16" s="1"/>
  <c r="H100" i="16"/>
  <c r="H112" i="16" s="1"/>
  <c r="G100" i="16"/>
  <c r="G112" i="16" s="1"/>
  <c r="F100" i="16"/>
  <c r="F112" i="16" s="1"/>
  <c r="E100" i="16"/>
  <c r="E112" i="16" s="1"/>
  <c r="D100" i="16"/>
  <c r="D112" i="16" s="1"/>
  <c r="C100" i="16"/>
  <c r="T99" i="16"/>
  <c r="S99" i="16"/>
  <c r="R99" i="16"/>
  <c r="Q99" i="16"/>
  <c r="P99" i="16"/>
  <c r="O99" i="16"/>
  <c r="N99" i="16"/>
  <c r="M99" i="16"/>
  <c r="L99" i="16"/>
  <c r="K99" i="16"/>
  <c r="J99" i="16"/>
  <c r="I99" i="16"/>
  <c r="H99" i="16"/>
  <c r="G99" i="16"/>
  <c r="F99" i="16"/>
  <c r="E99" i="16"/>
  <c r="D99" i="16"/>
  <c r="C99" i="16"/>
  <c r="T56" i="16"/>
  <c r="S56" i="16"/>
  <c r="R56" i="16"/>
  <c r="Q56" i="16"/>
  <c r="P56" i="16"/>
  <c r="O56" i="16"/>
  <c r="N56" i="16"/>
  <c r="M56" i="16"/>
  <c r="L56" i="16"/>
  <c r="K56" i="16"/>
  <c r="J56" i="16"/>
  <c r="I56" i="16"/>
  <c r="H56" i="16"/>
  <c r="G56" i="16"/>
  <c r="F56" i="16"/>
  <c r="E56" i="16"/>
  <c r="D56" i="16"/>
  <c r="S33" i="16"/>
  <c r="S36" i="16" s="1"/>
  <c r="R33" i="16"/>
  <c r="R36" i="16" s="1"/>
  <c r="P33" i="16"/>
  <c r="P36" i="16" s="1"/>
  <c r="N33" i="16"/>
  <c r="N36" i="16" s="1"/>
  <c r="L33" i="16"/>
  <c r="L36" i="16" s="1"/>
  <c r="J33" i="16"/>
  <c r="J36" i="16" s="1"/>
  <c r="H33" i="16"/>
  <c r="H36" i="16" s="1"/>
  <c r="F33" i="16"/>
  <c r="F36" i="16" s="1"/>
  <c r="AL26" i="16"/>
  <c r="BE26" i="16" s="1"/>
  <c r="AK26" i="16"/>
  <c r="BD26" i="16" s="1"/>
  <c r="AJ26" i="16"/>
  <c r="BC26" i="16" s="1"/>
  <c r="AI26" i="16"/>
  <c r="BB26" i="16" s="1"/>
  <c r="AH26" i="16"/>
  <c r="BA26" i="16" s="1"/>
  <c r="AG26" i="16"/>
  <c r="AZ26" i="16" s="1"/>
  <c r="AF26" i="16"/>
  <c r="AY26" i="16" s="1"/>
  <c r="AE26" i="16"/>
  <c r="AX26" i="16" s="1"/>
  <c r="AD26" i="16"/>
  <c r="AW26" i="16" s="1"/>
  <c r="AC26" i="16"/>
  <c r="AV26" i="16" s="1"/>
  <c r="AB26" i="16"/>
  <c r="AU26" i="16" s="1"/>
  <c r="AA26" i="16"/>
  <c r="AT26" i="16" s="1"/>
  <c r="Z26" i="16"/>
  <c r="AS26" i="16" s="1"/>
  <c r="Y26" i="16"/>
  <c r="AR26" i="16" s="1"/>
  <c r="X26" i="16"/>
  <c r="AQ26" i="16" s="1"/>
  <c r="T26" i="16"/>
  <c r="AM26" i="16" s="1"/>
  <c r="BF26" i="16" s="1"/>
  <c r="BF25" i="16"/>
  <c r="BE25" i="16"/>
  <c r="BD25" i="16"/>
  <c r="BC25" i="16"/>
  <c r="BB25" i="16"/>
  <c r="BA25" i="16"/>
  <c r="AZ25" i="16"/>
  <c r="AY25" i="16"/>
  <c r="AX25" i="16"/>
  <c r="AW25" i="16"/>
  <c r="AV25" i="16"/>
  <c r="AU25" i="16"/>
  <c r="AT25" i="16"/>
  <c r="AS25" i="16"/>
  <c r="AR25" i="16"/>
  <c r="AQ25" i="16"/>
  <c r="AP25" i="16"/>
  <c r="E25" i="16"/>
  <c r="F25" i="16" s="1"/>
  <c r="G25" i="16" s="1"/>
  <c r="H25" i="16" s="1"/>
  <c r="I25" i="16" s="1"/>
  <c r="J25" i="16" s="1"/>
  <c r="K25" i="16" s="1"/>
  <c r="L25" i="16" s="1"/>
  <c r="M25" i="16" s="1"/>
  <c r="N25" i="16" s="1"/>
  <c r="O25" i="16" s="1"/>
  <c r="P25" i="16" s="1"/>
  <c r="Q25" i="16" s="1"/>
  <c r="R25" i="16" s="1"/>
  <c r="S25" i="16" s="1"/>
  <c r="T25" i="16" s="1"/>
  <c r="AL24" i="16"/>
  <c r="BE24" i="16" s="1"/>
  <c r="AK24" i="16"/>
  <c r="BD24" i="16" s="1"/>
  <c r="AJ24" i="16"/>
  <c r="BC24" i="16" s="1"/>
  <c r="AI24" i="16"/>
  <c r="BB24" i="16" s="1"/>
  <c r="AH24" i="16"/>
  <c r="BA24" i="16" s="1"/>
  <c r="AG24" i="16"/>
  <c r="AZ24" i="16" s="1"/>
  <c r="AF24" i="16"/>
  <c r="AY24" i="16" s="1"/>
  <c r="AE24" i="16"/>
  <c r="AX24" i="16" s="1"/>
  <c r="AD24" i="16"/>
  <c r="AW24" i="16" s="1"/>
  <c r="AC24" i="16"/>
  <c r="AV24" i="16" s="1"/>
  <c r="AB24" i="16"/>
  <c r="AU24" i="16" s="1"/>
  <c r="AA24" i="16"/>
  <c r="AT24" i="16" s="1"/>
  <c r="Z24" i="16"/>
  <c r="AS24" i="16" s="1"/>
  <c r="Y24" i="16"/>
  <c r="AR24" i="16" s="1"/>
  <c r="X24" i="16"/>
  <c r="AQ24" i="16" s="1"/>
  <c r="W24" i="16"/>
  <c r="AP24" i="16" s="1"/>
  <c r="T24" i="16"/>
  <c r="AM24" i="16" s="1"/>
  <c r="BF24" i="16" s="1"/>
  <c r="BF23" i="16"/>
  <c r="BE23" i="16"/>
  <c r="BD23" i="16"/>
  <c r="BC23" i="16"/>
  <c r="BB23" i="16"/>
  <c r="BA23" i="16"/>
  <c r="AZ23" i="16"/>
  <c r="AY23" i="16"/>
  <c r="AX23" i="16"/>
  <c r="AW23" i="16"/>
  <c r="AV23" i="16"/>
  <c r="AU23" i="16"/>
  <c r="AT23" i="16"/>
  <c r="AS23" i="16"/>
  <c r="AR23" i="16"/>
  <c r="AQ23" i="16"/>
  <c r="AP23" i="16"/>
  <c r="BF22" i="16"/>
  <c r="BE22" i="16"/>
  <c r="BD22" i="16"/>
  <c r="BC22" i="16"/>
  <c r="BB22" i="16"/>
  <c r="BA22" i="16"/>
  <c r="AZ22" i="16"/>
  <c r="AY22" i="16"/>
  <c r="AX22" i="16"/>
  <c r="AW22" i="16"/>
  <c r="AV22" i="16"/>
  <c r="AU22" i="16"/>
  <c r="AT22" i="16"/>
  <c r="AS22" i="16"/>
  <c r="AR22" i="16"/>
  <c r="AQ22" i="16"/>
  <c r="AP22" i="16"/>
  <c r="BF21" i="16"/>
  <c r="BE21" i="16"/>
  <c r="BD21" i="16"/>
  <c r="BC21" i="16"/>
  <c r="BB21" i="16"/>
  <c r="BA21" i="16"/>
  <c r="AZ21" i="16"/>
  <c r="AY21" i="16"/>
  <c r="AX21" i="16"/>
  <c r="AW21" i="16"/>
  <c r="AV21" i="16"/>
  <c r="AU21" i="16"/>
  <c r="AT21" i="16"/>
  <c r="AS21" i="16"/>
  <c r="AR21" i="16"/>
  <c r="AQ21" i="16"/>
  <c r="AP21" i="16"/>
  <c r="BB20" i="16"/>
  <c r="BA20" i="16"/>
  <c r="AZ20" i="16"/>
  <c r="AS20" i="16"/>
  <c r="AR20" i="16"/>
  <c r="AX20" i="16"/>
  <c r="AW20" i="16"/>
  <c r="S18" i="16"/>
  <c r="AL18" i="16" s="1"/>
  <c r="BE18" i="16" s="1"/>
  <c r="R18" i="16"/>
  <c r="AK18" i="16" s="1"/>
  <c r="Q18" i="16"/>
  <c r="Q19" i="16" s="1"/>
  <c r="AJ19" i="16" s="1"/>
  <c r="BC19" i="16" s="1"/>
  <c r="P18" i="16"/>
  <c r="AI18" i="16" s="1"/>
  <c r="O18" i="16"/>
  <c r="O19" i="16" s="1"/>
  <c r="AH19" i="16" s="1"/>
  <c r="BA19" i="16" s="1"/>
  <c r="N18" i="16"/>
  <c r="N19" i="16" s="1"/>
  <c r="AG19" i="16" s="1"/>
  <c r="AZ19" i="16" s="1"/>
  <c r="M18" i="16"/>
  <c r="M19" i="16" s="1"/>
  <c r="AF19" i="16" s="1"/>
  <c r="AY19" i="16" s="1"/>
  <c r="L18" i="16"/>
  <c r="AE18" i="16" s="1"/>
  <c r="AX18" i="16" s="1"/>
  <c r="K18" i="16"/>
  <c r="K19" i="16" s="1"/>
  <c r="AD19" i="16" s="1"/>
  <c r="AW19" i="16" s="1"/>
  <c r="J18" i="16"/>
  <c r="I18" i="16"/>
  <c r="I19" i="16" s="1"/>
  <c r="AB19" i="16" s="1"/>
  <c r="AU19" i="16" s="1"/>
  <c r="H18" i="16"/>
  <c r="H19" i="16" s="1"/>
  <c r="AA19" i="16" s="1"/>
  <c r="AT19" i="16" s="1"/>
  <c r="G18" i="16"/>
  <c r="Z18" i="16" s="1"/>
  <c r="AS18" i="16" s="1"/>
  <c r="F18" i="16"/>
  <c r="F19" i="16" s="1"/>
  <c r="Y19" i="16" s="1"/>
  <c r="AR19" i="16" s="1"/>
  <c r="E18" i="16"/>
  <c r="X18" i="16" s="1"/>
  <c r="D18" i="16"/>
  <c r="D19" i="16" s="1"/>
  <c r="W19" i="16" s="1"/>
  <c r="AP19" i="16" s="1"/>
  <c r="BF17" i="16"/>
  <c r="BE17" i="16"/>
  <c r="BD17" i="16"/>
  <c r="BC17" i="16"/>
  <c r="BB17" i="16"/>
  <c r="BA17" i="16"/>
  <c r="AZ17" i="16"/>
  <c r="AY17" i="16"/>
  <c r="AX17" i="16"/>
  <c r="AW17" i="16"/>
  <c r="AV17" i="16"/>
  <c r="AU17" i="16"/>
  <c r="AT17" i="16"/>
  <c r="AS17" i="16"/>
  <c r="AR17" i="16"/>
  <c r="AQ17" i="16"/>
  <c r="AP17" i="16"/>
  <c r="S17" i="16"/>
  <c r="R17" i="16"/>
  <c r="Q17" i="16"/>
  <c r="P17" i="16"/>
  <c r="O17" i="16"/>
  <c r="N17" i="16"/>
  <c r="M17" i="16"/>
  <c r="L17" i="16"/>
  <c r="K17" i="16"/>
  <c r="J17" i="16"/>
  <c r="I17" i="16"/>
  <c r="H17" i="16"/>
  <c r="G17" i="16"/>
  <c r="F17" i="16"/>
  <c r="E17" i="16"/>
  <c r="D17" i="16"/>
  <c r="BF16" i="16"/>
  <c r="BE16" i="16"/>
  <c r="BD16" i="16"/>
  <c r="BC16" i="16"/>
  <c r="BB16" i="16"/>
  <c r="BA16" i="16"/>
  <c r="AZ16" i="16"/>
  <c r="AY16" i="16"/>
  <c r="AX16" i="16"/>
  <c r="AW16" i="16"/>
  <c r="AV16" i="16"/>
  <c r="AU16" i="16"/>
  <c r="AT16" i="16"/>
  <c r="AS16" i="16"/>
  <c r="AR16" i="16"/>
  <c r="AQ16" i="16"/>
  <c r="AP16" i="16"/>
  <c r="Q16" i="16"/>
  <c r="O16" i="16"/>
  <c r="M16" i="16"/>
  <c r="K16" i="16"/>
  <c r="I16" i="16"/>
  <c r="G16" i="16"/>
  <c r="E16" i="16"/>
  <c r="D16" i="16"/>
  <c r="BF15" i="16"/>
  <c r="BE15" i="16"/>
  <c r="BD15" i="16"/>
  <c r="BC15" i="16"/>
  <c r="BB15" i="16"/>
  <c r="BA15" i="16"/>
  <c r="AZ15" i="16"/>
  <c r="AY15" i="16"/>
  <c r="AX15" i="16"/>
  <c r="AW15" i="16"/>
  <c r="AV15" i="16"/>
  <c r="AU15" i="16"/>
  <c r="AT15" i="16"/>
  <c r="AS15" i="16"/>
  <c r="AR15" i="16"/>
  <c r="AQ15" i="16"/>
  <c r="AP15" i="16"/>
  <c r="T15" i="16"/>
  <c r="N15" i="16"/>
  <c r="J15" i="16"/>
  <c r="AL14" i="16"/>
  <c r="BE14" i="16" s="1"/>
  <c r="W14" i="16"/>
  <c r="AP14" i="16" s="1"/>
  <c r="T14" i="16"/>
  <c r="AJ14" i="16"/>
  <c r="BC14" i="16" s="1"/>
  <c r="BA13" i="16"/>
  <c r="T13" i="16"/>
  <c r="R13" i="16"/>
  <c r="P13" i="16"/>
  <c r="N13" i="16"/>
  <c r="L13" i="16"/>
  <c r="J13" i="16"/>
  <c r="H13" i="16"/>
  <c r="F13" i="16"/>
  <c r="AL12" i="16"/>
  <c r="Z12" i="16"/>
  <c r="W12" i="16"/>
  <c r="T12" i="16"/>
  <c r="M79" i="16" s="1"/>
  <c r="AL11" i="16"/>
  <c r="W11" i="16"/>
  <c r="T11" i="16"/>
  <c r="M80" i="16" s="1"/>
  <c r="AL9" i="16"/>
  <c r="AL10" i="16" s="1"/>
  <c r="BE10" i="16" s="1"/>
  <c r="W9" i="16"/>
  <c r="W10" i="16" s="1"/>
  <c r="T9" i="16"/>
  <c r="T10" i="16" s="1"/>
  <c r="AL8" i="16"/>
  <c r="BE8" i="16" s="1"/>
  <c r="W8" i="16"/>
  <c r="T8" i="16"/>
  <c r="M76" i="16" s="1"/>
  <c r="T7" i="16"/>
  <c r="AM7" i="16" s="1"/>
  <c r="S7" i="16"/>
  <c r="AL7" i="16" s="1"/>
  <c r="BE7" i="16" s="1"/>
  <c r="AL6" i="16"/>
  <c r="Z6" i="16"/>
  <c r="W6" i="16"/>
  <c r="T6" i="16"/>
  <c r="R6" i="16"/>
  <c r="AK6" i="16" s="1"/>
  <c r="AV5" i="16"/>
  <c r="AR5" i="16"/>
  <c r="AQ5" i="16"/>
  <c r="T5" i="16"/>
  <c r="T101" i="16" s="1"/>
  <c r="T4" i="16"/>
  <c r="T17" i="16" s="1"/>
  <c r="E256" i="6"/>
  <c r="AE4" i="16" s="1"/>
  <c r="AX4" i="16" s="1"/>
  <c r="E257" i="6"/>
  <c r="E258" i="6"/>
  <c r="E255" i="6"/>
  <c r="C48" i="15"/>
  <c r="D48" i="15" s="1"/>
  <c r="E48" i="15" s="1"/>
  <c r="F48" i="15" s="1"/>
  <c r="G48" i="15" s="1"/>
  <c r="H48" i="15" s="1"/>
  <c r="I48" i="15" s="1"/>
  <c r="J48" i="15" s="1"/>
  <c r="K48" i="15" s="1"/>
  <c r="L48" i="15" s="1"/>
  <c r="M48" i="15" s="1"/>
  <c r="N48" i="15" s="1"/>
  <c r="O48" i="15" s="1"/>
  <c r="P48" i="15" s="1"/>
  <c r="Q48" i="15" s="1"/>
  <c r="R48" i="15" s="1"/>
  <c r="S48" i="15" s="1"/>
  <c r="T48" i="15" s="1"/>
  <c r="U48" i="15" s="1"/>
  <c r="V48" i="15" s="1"/>
  <c r="W48" i="15" s="1"/>
  <c r="X48" i="15" s="1"/>
  <c r="Y48" i="15" s="1"/>
  <c r="Z48" i="15" s="1"/>
  <c r="AA48" i="15" s="1"/>
  <c r="AB48" i="15" s="1"/>
  <c r="AC48" i="15" s="1"/>
  <c r="AD48" i="15" s="1"/>
  <c r="AE48" i="15" s="1"/>
  <c r="AF48" i="15" s="1"/>
  <c r="AG48" i="15" s="1"/>
  <c r="AH48" i="15" s="1"/>
  <c r="AI48" i="15" s="1"/>
  <c r="AJ48" i="15" s="1"/>
  <c r="AK48" i="15" s="1"/>
  <c r="AL48" i="15" s="1"/>
  <c r="AM48" i="15" s="1"/>
  <c r="AN48" i="15" s="1"/>
  <c r="AO48" i="15" s="1"/>
  <c r="AP48" i="15" s="1"/>
  <c r="AQ48" i="15" s="1"/>
  <c r="AR48" i="15" s="1"/>
  <c r="AS48" i="15" s="1"/>
  <c r="AT48" i="15" s="1"/>
  <c r="AU48" i="15" s="1"/>
  <c r="AV48" i="15" s="1"/>
  <c r="AW48" i="15" s="1"/>
  <c r="AX48" i="15" s="1"/>
  <c r="AY48" i="15" s="1"/>
  <c r="AZ48" i="15" s="1"/>
  <c r="BA48" i="15" s="1"/>
  <c r="BB48" i="15" s="1"/>
  <c r="BC48" i="15" s="1"/>
  <c r="BD48" i="15" s="1"/>
  <c r="BE48" i="15" s="1"/>
  <c r="BF48" i="15" s="1"/>
  <c r="BG48" i="15" s="1"/>
  <c r="BH48" i="15" s="1"/>
  <c r="BI48" i="15" s="1"/>
  <c r="BJ48" i="15" s="1"/>
  <c r="BK48" i="15" s="1"/>
  <c r="AM4" i="18" l="1"/>
  <c r="BF4" i="18" s="1"/>
  <c r="AM4" i="17"/>
  <c r="BF4" i="17" s="1"/>
  <c r="L19" i="16"/>
  <c r="AE19" i="16" s="1"/>
  <c r="AX19" i="16" s="1"/>
  <c r="S19" i="16"/>
  <c r="AL19" i="16" s="1"/>
  <c r="BE19" i="16" s="1"/>
  <c r="AD18" i="16"/>
  <c r="Y18" i="16"/>
  <c r="AR18" i="16" s="1"/>
  <c r="AM9" i="16"/>
  <c r="AM10" i="16" s="1"/>
  <c r="BE11" i="16"/>
  <c r="M30" i="16"/>
  <c r="G78" i="16"/>
  <c r="AH11" i="16"/>
  <c r="W7" i="17"/>
  <c r="AP7" i="17" s="1"/>
  <c r="Z9" i="16"/>
  <c r="Z10" i="16" s="1"/>
  <c r="J14" i="16"/>
  <c r="I14" i="16"/>
  <c r="F73" i="15"/>
  <c r="F70" i="15"/>
  <c r="G65" i="15"/>
  <c r="G72" i="15" s="1"/>
  <c r="F71" i="15"/>
  <c r="K30" i="16"/>
  <c r="P30" i="16"/>
  <c r="G30" i="16"/>
  <c r="H30" i="16"/>
  <c r="F27" i="16"/>
  <c r="L27" i="16"/>
  <c r="H87" i="16"/>
  <c r="N27" i="16"/>
  <c r="I87" i="16"/>
  <c r="F30" i="16"/>
  <c r="E30" i="16"/>
  <c r="I68" i="15"/>
  <c r="K63" i="15"/>
  <c r="J66" i="15"/>
  <c r="J67" i="15"/>
  <c r="J69" i="15"/>
  <c r="AK4" i="18"/>
  <c r="BD4" i="18" s="1"/>
  <c r="AE4" i="18"/>
  <c r="AX4" i="18" s="1"/>
  <c r="AI4" i="18"/>
  <c r="BB4" i="18" s="1"/>
  <c r="AC4" i="18"/>
  <c r="AV4" i="18" s="1"/>
  <c r="AA4" i="18"/>
  <c r="AT4" i="18" s="1"/>
  <c r="Y4" i="18"/>
  <c r="AR4" i="18" s="1"/>
  <c r="AL4" i="18"/>
  <c r="BE4" i="18" s="1"/>
  <c r="AG4" i="18"/>
  <c r="AZ4" i="18" s="1"/>
  <c r="AA4" i="17"/>
  <c r="AT4" i="17" s="1"/>
  <c r="AC4" i="17"/>
  <c r="AV4" i="17" s="1"/>
  <c r="AI4" i="17"/>
  <c r="BB4" i="17" s="1"/>
  <c r="AK4" i="17"/>
  <c r="BD4" i="17" s="1"/>
  <c r="AL4" i="17"/>
  <c r="BE4" i="17" s="1"/>
  <c r="AE4" i="17"/>
  <c r="AX4" i="17" s="1"/>
  <c r="Y4" i="17"/>
  <c r="AR4" i="17" s="1"/>
  <c r="AG4" i="17"/>
  <c r="AZ4" i="17" s="1"/>
  <c r="W18" i="16"/>
  <c r="AP18" i="16" s="1"/>
  <c r="AM4" i="16"/>
  <c r="BF4" i="16" s="1"/>
  <c r="I30" i="16"/>
  <c r="K78" i="16"/>
  <c r="Q30" i="16"/>
  <c r="AV13" i="16"/>
  <c r="BD18" i="16"/>
  <c r="R30" i="16"/>
  <c r="AM5" i="16"/>
  <c r="BF5" i="16" s="1"/>
  <c r="AJ18" i="16"/>
  <c r="BC18" i="16" s="1"/>
  <c r="R27" i="16"/>
  <c r="K87" i="16"/>
  <c r="AH18" i="16"/>
  <c r="BA18" i="16" s="1"/>
  <c r="N14" i="16"/>
  <c r="AG14" i="16" s="1"/>
  <c r="AZ14" i="16" s="1"/>
  <c r="E78" i="16"/>
  <c r="AG18" i="16"/>
  <c r="AZ18" i="16" s="1"/>
  <c r="P27" i="16"/>
  <c r="J87" i="16"/>
  <c r="AF11" i="16"/>
  <c r="AY11" i="16" s="1"/>
  <c r="O30" i="16"/>
  <c r="AF18" i="16"/>
  <c r="AY18" i="16" s="1"/>
  <c r="G76" i="16"/>
  <c r="AH8" i="16"/>
  <c r="BA8" i="16" s="1"/>
  <c r="AC18" i="16"/>
  <c r="AV18" i="16" s="1"/>
  <c r="AB18" i="16"/>
  <c r="AU18" i="16" s="1"/>
  <c r="G19" i="16"/>
  <c r="Z19" i="16" s="1"/>
  <c r="AS19" i="16" s="1"/>
  <c r="AA18" i="16"/>
  <c r="AT18" i="16" s="1"/>
  <c r="AG4" i="16"/>
  <c r="AZ4" i="16" s="1"/>
  <c r="AI4" i="16"/>
  <c r="BB4" i="16" s="1"/>
  <c r="AK4" i="16"/>
  <c r="BD4" i="16" s="1"/>
  <c r="AL4" i="16"/>
  <c r="BE4" i="16" s="1"/>
  <c r="Y4" i="16"/>
  <c r="AR4" i="16" s="1"/>
  <c r="AA4" i="16"/>
  <c r="AT4" i="16" s="1"/>
  <c r="AC4" i="16"/>
  <c r="AV4" i="16" s="1"/>
  <c r="K29" i="16"/>
  <c r="M29" i="16"/>
  <c r="N30" i="16"/>
  <c r="J30" i="16"/>
  <c r="F114" i="16"/>
  <c r="G114" i="16"/>
  <c r="J114" i="16"/>
  <c r="O114" i="16"/>
  <c r="S114" i="16"/>
  <c r="N114" i="16"/>
  <c r="N116" i="16" s="1"/>
  <c r="K114" i="16"/>
  <c r="L114" i="16"/>
  <c r="M114" i="16"/>
  <c r="P114" i="16"/>
  <c r="Q114" i="16"/>
  <c r="R114" i="16"/>
  <c r="T114" i="16"/>
  <c r="D114" i="16"/>
  <c r="E114" i="16"/>
  <c r="H114" i="16"/>
  <c r="AR8" i="16"/>
  <c r="AW11" i="16"/>
  <c r="BB8" i="16"/>
  <c r="BB11" i="16"/>
  <c r="BC11" i="16"/>
  <c r="L30" i="16"/>
  <c r="Q29" i="16"/>
  <c r="O29" i="16"/>
  <c r="E29" i="16"/>
  <c r="AF12" i="16"/>
  <c r="AY12" i="16" s="1"/>
  <c r="AJ12" i="16"/>
  <c r="AD12" i="16"/>
  <c r="BC12" i="16"/>
  <c r="J80" i="16"/>
  <c r="K80" i="16"/>
  <c r="H80" i="16"/>
  <c r="N11" i="16"/>
  <c r="AG11" i="16" s="1"/>
  <c r="AZ11" i="16" s="1"/>
  <c r="X11" i="16"/>
  <c r="AQ11" i="16" s="1"/>
  <c r="I78" i="16"/>
  <c r="M78" i="16"/>
  <c r="BC9" i="16"/>
  <c r="AJ10" i="16"/>
  <c r="BC10" i="16" s="1"/>
  <c r="AD9" i="16"/>
  <c r="AD10" i="16" s="1"/>
  <c r="AW10" i="16" s="1"/>
  <c r="J76" i="16"/>
  <c r="H8" i="16"/>
  <c r="AA8" i="16" s="1"/>
  <c r="AT8" i="16" s="1"/>
  <c r="K76" i="16"/>
  <c r="H76" i="16"/>
  <c r="AF8" i="16"/>
  <c r="AY8" i="16" s="1"/>
  <c r="I76" i="16"/>
  <c r="Z8" i="16"/>
  <c r="AS8" i="16" s="1"/>
  <c r="AB8" i="16"/>
  <c r="AU8" i="16" s="1"/>
  <c r="R7" i="16"/>
  <c r="AK7" i="16" s="1"/>
  <c r="BD7" i="16" s="1"/>
  <c r="AI7" i="16"/>
  <c r="BB7" i="16" s="1"/>
  <c r="AE7" i="16"/>
  <c r="AX7" i="16" s="1"/>
  <c r="X7" i="16"/>
  <c r="AQ7" i="16" s="1"/>
  <c r="AA7" i="16"/>
  <c r="AT7" i="16" s="1"/>
  <c r="K77" i="16"/>
  <c r="E77" i="16"/>
  <c r="AU6" i="16"/>
  <c r="AQ9" i="16"/>
  <c r="BF7" i="16"/>
  <c r="AW6" i="16"/>
  <c r="AE8" i="16"/>
  <c r="AX8" i="16" s="1"/>
  <c r="AG8" i="16"/>
  <c r="AZ8" i="16" s="1"/>
  <c r="AB12" i="16"/>
  <c r="AU12" i="16" s="1"/>
  <c r="AX13" i="16"/>
  <c r="X14" i="16"/>
  <c r="AQ14" i="16" s="1"/>
  <c r="L9" i="16"/>
  <c r="F11" i="16"/>
  <c r="Y11" i="16" s="1"/>
  <c r="AR11" i="16" s="1"/>
  <c r="AY13" i="16"/>
  <c r="Z14" i="16"/>
  <c r="AS14" i="16" s="1"/>
  <c r="T18" i="16"/>
  <c r="AM18" i="16" s="1"/>
  <c r="S28" i="16"/>
  <c r="AP12" i="16"/>
  <c r="AB14" i="16"/>
  <c r="AU14" i="16" s="1"/>
  <c r="BE12" i="16"/>
  <c r="BB13" i="16"/>
  <c r="J11" i="16"/>
  <c r="AC11" i="16" s="1"/>
  <c r="AV11" i="16" s="1"/>
  <c r="F12" i="16"/>
  <c r="Y12" i="16" s="1"/>
  <c r="AR12" i="16" s="1"/>
  <c r="BC13" i="16"/>
  <c r="AP9" i="16"/>
  <c r="F6" i="16"/>
  <c r="AF6" i="16"/>
  <c r="AY6" i="16" s="1"/>
  <c r="BE6" i="16"/>
  <c r="BD6" i="16"/>
  <c r="P9" i="16"/>
  <c r="AI9" i="16" s="1"/>
  <c r="AI10" i="16" s="1"/>
  <c r="BB10" i="16" s="1"/>
  <c r="AP10" i="16"/>
  <c r="BF10" i="16"/>
  <c r="H12" i="16"/>
  <c r="AA12" i="16" s="1"/>
  <c r="AT12" i="16" s="1"/>
  <c r="X8" i="16"/>
  <c r="AQ8" i="16" s="1"/>
  <c r="N6" i="16"/>
  <c r="AG6" i="16" s="1"/>
  <c r="AZ6" i="16" s="1"/>
  <c r="H11" i="16"/>
  <c r="AA11" i="16" s="1"/>
  <c r="AT11" i="16" s="1"/>
  <c r="AK8" i="16"/>
  <c r="BD8" i="16" s="1"/>
  <c r="AH12" i="16"/>
  <c r="BA12" i="16" s="1"/>
  <c r="H6" i="16"/>
  <c r="R9" i="16"/>
  <c r="AK9" i="16" s="1"/>
  <c r="AK10" i="16" s="1"/>
  <c r="BD10" i="16" s="1"/>
  <c r="AS9" i="16"/>
  <c r="AQ10" i="16"/>
  <c r="L11" i="16"/>
  <c r="AE11" i="16" s="1"/>
  <c r="AX11" i="16" s="1"/>
  <c r="AF14" i="16"/>
  <c r="AY14" i="16" s="1"/>
  <c r="E19" i="16"/>
  <c r="X19" i="16" s="1"/>
  <c r="AQ19" i="16" s="1"/>
  <c r="AQ18" i="16"/>
  <c r="J6" i="16"/>
  <c r="AM11" i="16"/>
  <c r="BF11" i="16" s="1"/>
  <c r="J12" i="16"/>
  <c r="AC12" i="16" s="1"/>
  <c r="AV12" i="16" s="1"/>
  <c r="F14" i="16"/>
  <c r="Y14" i="16" s="1"/>
  <c r="AR14" i="16" s="1"/>
  <c r="F15" i="16"/>
  <c r="AW18" i="16"/>
  <c r="N9" i="16"/>
  <c r="AG9" i="16" s="1"/>
  <c r="AG10" i="16" s="1"/>
  <c r="AZ10" i="16" s="1"/>
  <c r="AJ6" i="16"/>
  <c r="BC6" i="16" s="1"/>
  <c r="AH14" i="16"/>
  <c r="BA14" i="16" s="1"/>
  <c r="BA6" i="16"/>
  <c r="AS10" i="16"/>
  <c r="AP11" i="16"/>
  <c r="L6" i="16"/>
  <c r="AD7" i="16"/>
  <c r="AW7" i="16" s="1"/>
  <c r="BC7" i="16"/>
  <c r="L12" i="16"/>
  <c r="AE12" i="16" s="1"/>
  <c r="AX12" i="16" s="1"/>
  <c r="AM12" i="16"/>
  <c r="BF12" i="16" s="1"/>
  <c r="H14" i="16"/>
  <c r="AA14" i="16" s="1"/>
  <c r="AT14" i="16" s="1"/>
  <c r="H15" i="16"/>
  <c r="R11" i="16"/>
  <c r="AK11" i="16" s="1"/>
  <c r="BD11" i="16" s="1"/>
  <c r="AC14" i="16"/>
  <c r="AV14" i="16" s="1"/>
  <c r="P6" i="16"/>
  <c r="AI6" i="16" s="1"/>
  <c r="BB6" i="16" s="1"/>
  <c r="AP6" i="16"/>
  <c r="AH7" i="16"/>
  <c r="BA7" i="16" s="1"/>
  <c r="AD8" i="16"/>
  <c r="AW8" i="16" s="1"/>
  <c r="AB9" i="16"/>
  <c r="AB10" i="16" s="1"/>
  <c r="AU10" i="16" s="1"/>
  <c r="P12" i="16"/>
  <c r="AI12" i="16" s="1"/>
  <c r="BB12" i="16" s="1"/>
  <c r="AS12" i="16"/>
  <c r="BF13" i="16"/>
  <c r="BD13" i="16"/>
  <c r="AZ13" i="16"/>
  <c r="AT13" i="16"/>
  <c r="L14" i="16"/>
  <c r="AE14" i="16" s="1"/>
  <c r="AX14" i="16" s="1"/>
  <c r="AM14" i="16"/>
  <c r="BF14" i="16" s="1"/>
  <c r="J19" i="16"/>
  <c r="AC19" i="16" s="1"/>
  <c r="AV19" i="16" s="1"/>
  <c r="R12" i="16"/>
  <c r="AK12" i="16" s="1"/>
  <c r="BD12" i="16" s="1"/>
  <c r="AP13" i="16"/>
  <c r="L15" i="16"/>
  <c r="AQ13" i="16"/>
  <c r="AF9" i="16"/>
  <c r="AR13" i="16"/>
  <c r="N12" i="16"/>
  <c r="AG12" i="16" s="1"/>
  <c r="AZ12" i="16" s="1"/>
  <c r="AS6" i="16"/>
  <c r="AM6" i="16"/>
  <c r="BF6" i="16" s="1"/>
  <c r="X12" i="16"/>
  <c r="AQ12" i="16" s="1"/>
  <c r="P14" i="16"/>
  <c r="AI14" i="16" s="1"/>
  <c r="BB14" i="16" s="1"/>
  <c r="T100" i="16"/>
  <c r="T112" i="16" s="1"/>
  <c r="F9" i="16"/>
  <c r="BE9" i="16"/>
  <c r="Z11" i="16"/>
  <c r="AS11" i="16" s="1"/>
  <c r="AW12" i="16"/>
  <c r="AS13" i="16"/>
  <c r="X6" i="16"/>
  <c r="AQ6" i="16" s="1"/>
  <c r="AC8" i="16"/>
  <c r="AV8" i="16" s="1"/>
  <c r="AJ8" i="16"/>
  <c r="BC8" i="16" s="1"/>
  <c r="H9" i="16"/>
  <c r="AH9" i="16"/>
  <c r="AH10" i="16" s="1"/>
  <c r="BA10" i="16" s="1"/>
  <c r="AB11" i="16"/>
  <c r="AU11" i="16" s="1"/>
  <c r="BA11" i="16"/>
  <c r="AU13" i="16"/>
  <c r="R14" i="16"/>
  <c r="AK14" i="16" s="1"/>
  <c r="BD14" i="16" s="1"/>
  <c r="P19" i="16"/>
  <c r="AI19" i="16" s="1"/>
  <c r="BB19" i="16" s="1"/>
  <c r="BB18" i="16"/>
  <c r="AZ7" i="16"/>
  <c r="R19" i="16"/>
  <c r="AK19" i="16" s="1"/>
  <c r="BD19" i="16" s="1"/>
  <c r="AM8" i="16"/>
  <c r="BF8" i="16" s="1"/>
  <c r="J9" i="16"/>
  <c r="AW13" i="16"/>
  <c r="R15" i="16"/>
  <c r="AP8" i="16"/>
  <c r="F115" i="16"/>
  <c r="H115" i="16"/>
  <c r="I115" i="16"/>
  <c r="I116" i="16" s="1"/>
  <c r="J115" i="16"/>
  <c r="K115" i="16"/>
  <c r="L115" i="16"/>
  <c r="M115" i="16"/>
  <c r="S115" i="16"/>
  <c r="R115" i="16"/>
  <c r="Q115" i="16"/>
  <c r="E115" i="16"/>
  <c r="P115" i="16"/>
  <c r="O115" i="16"/>
  <c r="G115" i="16"/>
  <c r="D115" i="16"/>
  <c r="T115" i="16"/>
  <c r="E21" i="15"/>
  <c r="F21" i="15"/>
  <c r="G21" i="15"/>
  <c r="H21" i="15"/>
  <c r="I21" i="15"/>
  <c r="J21" i="15"/>
  <c r="K21" i="15"/>
  <c r="L21" i="15"/>
  <c r="M21" i="15"/>
  <c r="N21" i="15"/>
  <c r="O21" i="15"/>
  <c r="P21" i="15"/>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AW21" i="15"/>
  <c r="AX21" i="15"/>
  <c r="AY21" i="15"/>
  <c r="AZ21" i="15"/>
  <c r="BA21" i="15"/>
  <c r="BB21" i="15"/>
  <c r="BC21" i="15"/>
  <c r="BD21" i="15"/>
  <c r="BE21" i="15"/>
  <c r="BF21" i="15"/>
  <c r="BG21" i="15"/>
  <c r="BH21" i="15"/>
  <c r="BI21" i="15"/>
  <c r="BJ21" i="15"/>
  <c r="BK21" i="15"/>
  <c r="D21" i="15"/>
  <c r="C21" i="15"/>
  <c r="AF197" i="11"/>
  <c r="AG197" i="11" s="1"/>
  <c r="AH197" i="11" s="1"/>
  <c r="AI197" i="11" s="1"/>
  <c r="AJ197" i="11" s="1"/>
  <c r="AK197" i="11" s="1"/>
  <c r="AL197" i="11" s="1"/>
  <c r="AM197" i="11" s="1"/>
  <c r="AN197" i="11" s="1"/>
  <c r="AO197" i="11" s="1"/>
  <c r="AP197" i="11" s="1"/>
  <c r="AQ197" i="11" s="1"/>
  <c r="AR197" i="11" s="1"/>
  <c r="AS197" i="11" s="1"/>
  <c r="AT197" i="11" s="1"/>
  <c r="AU197" i="11" s="1"/>
  <c r="AV197" i="11" s="1"/>
  <c r="AW197" i="11" s="1"/>
  <c r="AX197" i="11" s="1"/>
  <c r="AY197" i="11" s="1"/>
  <c r="AZ197" i="11" s="1"/>
  <c r="BA197" i="11" s="1"/>
  <c r="BB197" i="11" s="1"/>
  <c r="BC197" i="11" s="1"/>
  <c r="BD197" i="11" s="1"/>
  <c r="BE197" i="11" s="1"/>
  <c r="BF197" i="11" s="1"/>
  <c r="BG197" i="11" s="1"/>
  <c r="BH197" i="11" s="1"/>
  <c r="BI197" i="11" s="1"/>
  <c r="BJ197" i="11" s="1"/>
  <c r="BK197" i="11" s="1"/>
  <c r="BL197" i="11" s="1"/>
  <c r="BM197" i="11" s="1"/>
  <c r="BN197" i="11" s="1"/>
  <c r="BO197" i="11" s="1"/>
  <c r="BP197" i="11" s="1"/>
  <c r="BQ197" i="11" s="1"/>
  <c r="BR197" i="11" s="1"/>
  <c r="BS197" i="11" s="1"/>
  <c r="BT197" i="11" s="1"/>
  <c r="BU197" i="11" s="1"/>
  <c r="BV197" i="11" s="1"/>
  <c r="BW197" i="11" s="1"/>
  <c r="BX197" i="11" s="1"/>
  <c r="BY197" i="11" s="1"/>
  <c r="BZ197" i="11" s="1"/>
  <c r="CA197" i="11" s="1"/>
  <c r="CB197" i="11" s="1"/>
  <c r="CC197" i="11" s="1"/>
  <c r="C19" i="15"/>
  <c r="D19" i="15" s="1"/>
  <c r="BF9" i="16" l="1"/>
  <c r="G70" i="15"/>
  <c r="M33" i="16"/>
  <c r="M36" i="16" s="1"/>
  <c r="G71" i="15"/>
  <c r="H65" i="15"/>
  <c r="H72" i="15" s="1"/>
  <c r="Q33" i="16"/>
  <c r="Q36" i="16" s="1"/>
  <c r="AW9" i="16"/>
  <c r="K33" i="16"/>
  <c r="K36" i="16" s="1"/>
  <c r="G73" i="15"/>
  <c r="O33" i="16"/>
  <c r="O36" i="16" s="1"/>
  <c r="E33" i="16"/>
  <c r="E36" i="16" s="1"/>
  <c r="J68" i="15"/>
  <c r="H116" i="16"/>
  <c r="L63" i="15"/>
  <c r="K69" i="15"/>
  <c r="K67" i="15"/>
  <c r="K66" i="15"/>
  <c r="I65" i="15"/>
  <c r="I72" i="15" s="1"/>
  <c r="D116" i="16"/>
  <c r="T116" i="16"/>
  <c r="BE27" i="16"/>
  <c r="BE29" i="16" s="1"/>
  <c r="K116" i="16"/>
  <c r="F116" i="16"/>
  <c r="S116" i="16"/>
  <c r="G116" i="16"/>
  <c r="R116" i="16"/>
  <c r="O116" i="16"/>
  <c r="Q116" i="16"/>
  <c r="J116" i="16"/>
  <c r="M116" i="16"/>
  <c r="L116" i="16"/>
  <c r="P116" i="16"/>
  <c r="E116" i="16"/>
  <c r="Y9" i="16"/>
  <c r="Y10" i="16" s="1"/>
  <c r="AR10" i="16" s="1"/>
  <c r="F78" i="16"/>
  <c r="AE9" i="16"/>
  <c r="AX9" i="16" s="1"/>
  <c r="L78" i="16"/>
  <c r="BA9" i="16"/>
  <c r="BA27" i="16"/>
  <c r="AA9" i="16"/>
  <c r="AA10" i="16" s="1"/>
  <c r="AT10" i="16" s="1"/>
  <c r="H78" i="16"/>
  <c r="AC9" i="16"/>
  <c r="AC10" i="16" s="1"/>
  <c r="AV10" i="16" s="1"/>
  <c r="J78" i="16"/>
  <c r="BB9" i="16"/>
  <c r="BB27" i="16" s="1"/>
  <c r="AF7" i="16"/>
  <c r="AY7" i="16" s="1"/>
  <c r="M77" i="16"/>
  <c r="AW27" i="16"/>
  <c r="Y7" i="16"/>
  <c r="AR7" i="16" s="1"/>
  <c r="AB7" i="16"/>
  <c r="AU7" i="16" s="1"/>
  <c r="I77" i="16"/>
  <c r="BC27" i="16"/>
  <c r="AE6" i="16"/>
  <c r="AX6" i="16" s="1"/>
  <c r="L77" i="16"/>
  <c r="Y6" i="16"/>
  <c r="AR6" i="16" s="1"/>
  <c r="F77" i="16"/>
  <c r="AA6" i="16"/>
  <c r="AT6" i="16" s="1"/>
  <c r="H77" i="16"/>
  <c r="AC6" i="16"/>
  <c r="AV6" i="16" s="1"/>
  <c r="J77" i="16"/>
  <c r="AQ27" i="16"/>
  <c r="AU9" i="16"/>
  <c r="S30" i="16"/>
  <c r="T28" i="16"/>
  <c r="T30" i="16" s="1"/>
  <c r="BD9" i="16"/>
  <c r="BD27" i="16" s="1"/>
  <c r="BF18" i="16"/>
  <c r="T19" i="16"/>
  <c r="AM19" i="16" s="1"/>
  <c r="BF19" i="16" s="1"/>
  <c r="AZ9" i="16"/>
  <c r="AZ27" i="16" s="1"/>
  <c r="AY9" i="16"/>
  <c r="AF10" i="16"/>
  <c r="AY10" i="16" s="1"/>
  <c r="E19" i="15"/>
  <c r="D20" i="15"/>
  <c r="C20" i="15"/>
  <c r="H71" i="15" l="1"/>
  <c r="H73" i="15"/>
  <c r="H70" i="15"/>
  <c r="AE10" i="16"/>
  <c r="AX10" i="16" s="1"/>
  <c r="K68" i="15"/>
  <c r="M63" i="15"/>
  <c r="L69" i="15"/>
  <c r="L66" i="15"/>
  <c r="L67" i="15"/>
  <c r="J65" i="15"/>
  <c r="J72" i="15" s="1"/>
  <c r="I73" i="15"/>
  <c r="I70" i="15"/>
  <c r="I71" i="15"/>
  <c r="C26" i="15"/>
  <c r="C54" i="15" s="1"/>
  <c r="C27" i="15"/>
  <c r="C55" i="15" s="1"/>
  <c r="C28" i="15"/>
  <c r="C56" i="15" s="1"/>
  <c r="C25" i="15"/>
  <c r="C53" i="15" s="1"/>
  <c r="AW29" i="16"/>
  <c r="BB29" i="16"/>
  <c r="BA29" i="16"/>
  <c r="BF27" i="16"/>
  <c r="BF29" i="16" s="1"/>
  <c r="AR9" i="16"/>
  <c r="AR27" i="16" s="1"/>
  <c r="BC29" i="16"/>
  <c r="AU27" i="16"/>
  <c r="AU29" i="16" s="1"/>
  <c r="AV9" i="16"/>
  <c r="AT9" i="16"/>
  <c r="AT27" i="16" s="1"/>
  <c r="AT29" i="16" s="1"/>
  <c r="AY27" i="16"/>
  <c r="AY29" i="16" s="1"/>
  <c r="AC7" i="16"/>
  <c r="AV7" i="16" s="1"/>
  <c r="AX27" i="16"/>
  <c r="AX29" i="16" s="1"/>
  <c r="AZ29" i="16"/>
  <c r="AQ29" i="16"/>
  <c r="BD29" i="16"/>
  <c r="F19" i="15"/>
  <c r="E20" i="15"/>
  <c r="L68" i="15" l="1"/>
  <c r="N63" i="15"/>
  <c r="M67" i="15"/>
  <c r="M66" i="15"/>
  <c r="M69" i="15"/>
  <c r="K65" i="15"/>
  <c r="K72" i="15" s="1"/>
  <c r="J70" i="15"/>
  <c r="J71" i="15"/>
  <c r="J73" i="15"/>
  <c r="AV27" i="16"/>
  <c r="AV29" i="16" s="1"/>
  <c r="AR29" i="16"/>
  <c r="G77" i="16"/>
  <c r="D7" i="16"/>
  <c r="Z7" i="16"/>
  <c r="AS7" i="16" s="1"/>
  <c r="AS27" i="16" s="1"/>
  <c r="G19" i="15"/>
  <c r="F20" i="15"/>
  <c r="M68" i="15" l="1"/>
  <c r="O63" i="15"/>
  <c r="N69" i="15"/>
  <c r="N66" i="15"/>
  <c r="N67" i="15"/>
  <c r="L65" i="15"/>
  <c r="L72" i="15" s="1"/>
  <c r="K73" i="15"/>
  <c r="K71" i="15"/>
  <c r="K70" i="15"/>
  <c r="AS29" i="16"/>
  <c r="D77" i="16"/>
  <c r="W7" i="16"/>
  <c r="AP7" i="16" s="1"/>
  <c r="H19" i="15"/>
  <c r="G20" i="15"/>
  <c r="N68" i="15" l="1"/>
  <c r="P63" i="15"/>
  <c r="O67" i="15"/>
  <c r="O66" i="15"/>
  <c r="O69" i="15"/>
  <c r="M65" i="15"/>
  <c r="M72" i="15" s="1"/>
  <c r="L71" i="15"/>
  <c r="L70" i="15"/>
  <c r="L73" i="15"/>
  <c r="I19" i="15"/>
  <c r="H20" i="15"/>
  <c r="O68" i="15" l="1"/>
  <c r="Q63" i="15"/>
  <c r="P69" i="15"/>
  <c r="P67" i="15"/>
  <c r="P66" i="15"/>
  <c r="N65" i="15"/>
  <c r="N72" i="15" s="1"/>
  <c r="M70" i="15"/>
  <c r="M71" i="15"/>
  <c r="M73" i="15"/>
  <c r="J19" i="15"/>
  <c r="I20" i="15"/>
  <c r="P68" i="15" l="1"/>
  <c r="R63" i="15"/>
  <c r="Q67" i="15"/>
  <c r="Q66" i="15"/>
  <c r="Q69" i="15"/>
  <c r="O65" i="15"/>
  <c r="O72" i="15" s="1"/>
  <c r="N73" i="15"/>
  <c r="N71" i="15"/>
  <c r="N70" i="15"/>
  <c r="K19" i="15"/>
  <c r="J20" i="15"/>
  <c r="Q68" i="15" l="1"/>
  <c r="S63" i="15"/>
  <c r="R67" i="15"/>
  <c r="R69" i="15"/>
  <c r="R66" i="15"/>
  <c r="P65" i="15"/>
  <c r="P72" i="15" s="1"/>
  <c r="O71" i="15"/>
  <c r="O73" i="15"/>
  <c r="O70" i="15"/>
  <c r="L19" i="15"/>
  <c r="K20" i="15"/>
  <c r="R68" i="15" l="1"/>
  <c r="T63" i="15"/>
  <c r="S69" i="15"/>
  <c r="S67" i="15"/>
  <c r="S66" i="15"/>
  <c r="Q65" i="15"/>
  <c r="Q72" i="15" s="1"/>
  <c r="P70" i="15"/>
  <c r="P71" i="15"/>
  <c r="P73" i="15"/>
  <c r="M19" i="15"/>
  <c r="L20" i="15"/>
  <c r="S68" i="15" l="1"/>
  <c r="U63" i="15"/>
  <c r="T66" i="15"/>
  <c r="T67" i="15"/>
  <c r="T69" i="15"/>
  <c r="R65" i="15"/>
  <c r="R72" i="15" s="1"/>
  <c r="Q71" i="15"/>
  <c r="Q70" i="15"/>
  <c r="Q73" i="15"/>
  <c r="N19" i="15"/>
  <c r="M20" i="15"/>
  <c r="T68" i="15" l="1"/>
  <c r="V63" i="15"/>
  <c r="U69" i="15"/>
  <c r="U66" i="15"/>
  <c r="U67" i="15"/>
  <c r="S65" i="15"/>
  <c r="S72" i="15" s="1"/>
  <c r="R73" i="15"/>
  <c r="R71" i="15"/>
  <c r="R70" i="15"/>
  <c r="O19" i="15"/>
  <c r="N20" i="15"/>
  <c r="U68" i="15" l="1"/>
  <c r="W63" i="15"/>
  <c r="V66" i="15"/>
  <c r="V69" i="15"/>
  <c r="V67" i="15"/>
  <c r="T65" i="15"/>
  <c r="T72" i="15" s="1"/>
  <c r="S73" i="15"/>
  <c r="S71" i="15"/>
  <c r="S70" i="15"/>
  <c r="P19" i="15"/>
  <c r="O20" i="15"/>
  <c r="V68" i="15" l="1"/>
  <c r="X63" i="15"/>
  <c r="W66" i="15"/>
  <c r="W67" i="15"/>
  <c r="W69" i="15"/>
  <c r="U65" i="15"/>
  <c r="U72" i="15" s="1"/>
  <c r="T70" i="15"/>
  <c r="T73" i="15"/>
  <c r="T71" i="15"/>
  <c r="Q19" i="15"/>
  <c r="P20" i="15"/>
  <c r="W68" i="15" l="1"/>
  <c r="Y63" i="15"/>
  <c r="X67" i="15"/>
  <c r="X66" i="15"/>
  <c r="X69" i="15"/>
  <c r="V65" i="15"/>
  <c r="V72" i="15" s="1"/>
  <c r="U73" i="15"/>
  <c r="U70" i="15"/>
  <c r="U71" i="15"/>
  <c r="R19" i="15"/>
  <c r="Q20" i="15"/>
  <c r="X68" i="15" l="1"/>
  <c r="Z63" i="15"/>
  <c r="Y66" i="15"/>
  <c r="Y67" i="15"/>
  <c r="Y69" i="15"/>
  <c r="W65" i="15"/>
  <c r="W72" i="15" s="1"/>
  <c r="V70" i="15"/>
  <c r="V71" i="15"/>
  <c r="V73" i="15"/>
  <c r="S19" i="15"/>
  <c r="R20" i="15"/>
  <c r="Y68" i="15" l="1"/>
  <c r="AA63" i="15"/>
  <c r="Z67" i="15"/>
  <c r="Z69" i="15"/>
  <c r="Z66" i="15"/>
  <c r="X65" i="15"/>
  <c r="X72" i="15" s="1"/>
  <c r="W70" i="15"/>
  <c r="W71" i="15"/>
  <c r="W73" i="15"/>
  <c r="T19" i="15"/>
  <c r="S20" i="15"/>
  <c r="Z68" i="15" l="1"/>
  <c r="AB63" i="15"/>
  <c r="AA66" i="15"/>
  <c r="AA67" i="15"/>
  <c r="AA69" i="15"/>
  <c r="Y65" i="15"/>
  <c r="Y72" i="15" s="1"/>
  <c r="X71" i="15"/>
  <c r="X73" i="15"/>
  <c r="X70" i="15"/>
  <c r="U19" i="15"/>
  <c r="T20" i="15"/>
  <c r="AA68" i="15" l="1"/>
  <c r="AC63" i="15"/>
  <c r="AB69" i="15"/>
  <c r="AB66" i="15"/>
  <c r="AB67" i="15"/>
  <c r="X82" i="15"/>
  <c r="X83" i="15"/>
  <c r="X84" i="15"/>
  <c r="X85" i="15"/>
  <c r="Z65" i="15"/>
  <c r="Z72" i="15" s="1"/>
  <c r="Y73" i="15"/>
  <c r="Y71" i="15"/>
  <c r="Y70" i="15"/>
  <c r="V19" i="15"/>
  <c r="U20" i="15"/>
  <c r="AB68" i="15" l="1"/>
  <c r="AD63" i="15"/>
  <c r="AC69" i="15"/>
  <c r="AC67" i="15"/>
  <c r="AC66" i="15"/>
  <c r="Y82" i="15"/>
  <c r="Y83" i="15"/>
  <c r="Y84" i="15"/>
  <c r="Y85" i="15"/>
  <c r="AA65" i="15"/>
  <c r="AA72" i="15" s="1"/>
  <c r="Z71" i="15"/>
  <c r="Z70" i="15"/>
  <c r="Z73" i="15"/>
  <c r="X86" i="15"/>
  <c r="W19" i="15"/>
  <c r="V20" i="15"/>
  <c r="AC68" i="15" l="1"/>
  <c r="AE63" i="15"/>
  <c r="AD69" i="15"/>
  <c r="AD66" i="15"/>
  <c r="AD67" i="15"/>
  <c r="Z82" i="15"/>
  <c r="Z83" i="15"/>
  <c r="Z84" i="15"/>
  <c r="Z85" i="15"/>
  <c r="AB65" i="15"/>
  <c r="AB72" i="15" s="1"/>
  <c r="AA71" i="15"/>
  <c r="AA70" i="15"/>
  <c r="AA73" i="15"/>
  <c r="Y86" i="15"/>
  <c r="X19" i="15"/>
  <c r="W20" i="15"/>
  <c r="AD68" i="15" l="1"/>
  <c r="AF63" i="15"/>
  <c r="AE67" i="15"/>
  <c r="AE66" i="15"/>
  <c r="AE69" i="15"/>
  <c r="AA82" i="15"/>
  <c r="AA83" i="15"/>
  <c r="AA84" i="15"/>
  <c r="AA85" i="15"/>
  <c r="AC65" i="15"/>
  <c r="AC72" i="15" s="1"/>
  <c r="AB73" i="15"/>
  <c r="AB71" i="15"/>
  <c r="AB70" i="15"/>
  <c r="Z86" i="15"/>
  <c r="Y19" i="15"/>
  <c r="X20" i="15"/>
  <c r="AE68" i="15" l="1"/>
  <c r="AG63" i="15"/>
  <c r="AF67" i="15"/>
  <c r="AF69" i="15"/>
  <c r="AF66" i="15"/>
  <c r="AB82" i="15"/>
  <c r="AB83" i="15"/>
  <c r="AB84" i="15"/>
  <c r="AB85" i="15"/>
  <c r="AD65" i="15"/>
  <c r="AD72" i="15" s="1"/>
  <c r="AC71" i="15"/>
  <c r="AC73" i="15"/>
  <c r="AC70" i="15"/>
  <c r="AA86" i="15"/>
  <c r="Z19" i="15"/>
  <c r="Y20" i="15"/>
  <c r="AF68" i="15" l="1"/>
  <c r="AH63" i="15"/>
  <c r="AG69" i="15"/>
  <c r="AG66" i="15"/>
  <c r="AG67" i="15"/>
  <c r="AE65" i="15"/>
  <c r="AE72" i="15" s="1"/>
  <c r="AD73" i="15"/>
  <c r="AD71" i="15"/>
  <c r="AD70" i="15"/>
  <c r="AC83" i="15"/>
  <c r="AC82" i="15"/>
  <c r="AC84" i="15"/>
  <c r="AC85" i="15"/>
  <c r="AB86" i="15"/>
  <c r="AA19" i="15"/>
  <c r="Z20" i="15"/>
  <c r="AG68" i="15" l="1"/>
  <c r="AC86" i="15"/>
  <c r="AI63" i="15"/>
  <c r="AH69" i="15"/>
  <c r="AH67" i="15"/>
  <c r="AH66" i="15"/>
  <c r="AD82" i="15"/>
  <c r="AD83" i="15"/>
  <c r="AD84" i="15"/>
  <c r="AD85" i="15"/>
  <c r="AF65" i="15"/>
  <c r="AF72" i="15" s="1"/>
  <c r="AE71" i="15"/>
  <c r="AE70" i="15"/>
  <c r="AE73" i="15"/>
  <c r="AB19" i="15"/>
  <c r="AA20" i="15"/>
  <c r="AH68" i="15" l="1"/>
  <c r="AJ63" i="15"/>
  <c r="AI67" i="15"/>
  <c r="AI69" i="15"/>
  <c r="AI66" i="15"/>
  <c r="AE83" i="15"/>
  <c r="AE85" i="15"/>
  <c r="AE84" i="15"/>
  <c r="AE82" i="15"/>
  <c r="AG65" i="15"/>
  <c r="AG72" i="15" s="1"/>
  <c r="AF73" i="15"/>
  <c r="AF70" i="15"/>
  <c r="AF71" i="15"/>
  <c r="AD86" i="15"/>
  <c r="AC19" i="15"/>
  <c r="AB20" i="15"/>
  <c r="AE86" i="15" l="1"/>
  <c r="AI68" i="15"/>
  <c r="AK63" i="15"/>
  <c r="AJ69" i="15"/>
  <c r="AJ66" i="15"/>
  <c r="AJ67" i="15"/>
  <c r="AF82" i="15"/>
  <c r="AF83" i="15"/>
  <c r="AF84" i="15"/>
  <c r="AF85" i="15"/>
  <c r="AH65" i="15"/>
  <c r="AH72" i="15" s="1"/>
  <c r="AG73" i="15"/>
  <c r="AG70" i="15"/>
  <c r="AG71" i="15"/>
  <c r="AD19" i="15"/>
  <c r="AC20" i="15"/>
  <c r="AJ68" i="15" l="1"/>
  <c r="AL63" i="15"/>
  <c r="AK66" i="15"/>
  <c r="AK67" i="15"/>
  <c r="AK69" i="15"/>
  <c r="AG82" i="15"/>
  <c r="AG83" i="15"/>
  <c r="AG84" i="15"/>
  <c r="AG85" i="15"/>
  <c r="AI65" i="15"/>
  <c r="AI72" i="15" s="1"/>
  <c r="AH73" i="15"/>
  <c r="AH71" i="15"/>
  <c r="AH70" i="15"/>
  <c r="AF86" i="15"/>
  <c r="AE19" i="15"/>
  <c r="AD20" i="15"/>
  <c r="C29" i="15"/>
  <c r="C40" i="15"/>
  <c r="D40" i="15" s="1"/>
  <c r="E40" i="15" s="1"/>
  <c r="F40" i="15" s="1"/>
  <c r="G40" i="15" s="1"/>
  <c r="H40" i="15" s="1"/>
  <c r="I40" i="15" s="1"/>
  <c r="J40" i="15" s="1"/>
  <c r="K40" i="15" s="1"/>
  <c r="L40" i="15" s="1"/>
  <c r="M40" i="15" s="1"/>
  <c r="N40" i="15" s="1"/>
  <c r="O40" i="15" s="1"/>
  <c r="P40" i="15" s="1"/>
  <c r="Q40" i="15" s="1"/>
  <c r="R40" i="15" s="1"/>
  <c r="S40" i="15" s="1"/>
  <c r="T40" i="15" s="1"/>
  <c r="U40" i="15" s="1"/>
  <c r="V40" i="15" s="1"/>
  <c r="W40" i="15" s="1"/>
  <c r="X40" i="15" s="1"/>
  <c r="Y40" i="15" s="1"/>
  <c r="Z40" i="15" s="1"/>
  <c r="AA40" i="15" s="1"/>
  <c r="AB40" i="15" s="1"/>
  <c r="AC40" i="15" s="1"/>
  <c r="AD40" i="15" s="1"/>
  <c r="AE40" i="15" s="1"/>
  <c r="AF40" i="15" s="1"/>
  <c r="AG40" i="15" s="1"/>
  <c r="AH40" i="15" s="1"/>
  <c r="AI40" i="15" s="1"/>
  <c r="AJ40" i="15" s="1"/>
  <c r="AK40" i="15" s="1"/>
  <c r="AL40" i="15" s="1"/>
  <c r="AM40" i="15" s="1"/>
  <c r="AN40" i="15" s="1"/>
  <c r="AO40" i="15" s="1"/>
  <c r="AP40" i="15" s="1"/>
  <c r="AQ40" i="15" s="1"/>
  <c r="AR40" i="15" s="1"/>
  <c r="AS40" i="15" s="1"/>
  <c r="AT40" i="15" s="1"/>
  <c r="AU40" i="15" s="1"/>
  <c r="AV40" i="15" s="1"/>
  <c r="AW40" i="15" s="1"/>
  <c r="AX40" i="15" s="1"/>
  <c r="AY40" i="15" s="1"/>
  <c r="AZ40" i="15" s="1"/>
  <c r="BA40" i="15" s="1"/>
  <c r="BB40" i="15" s="1"/>
  <c r="BC40" i="15" s="1"/>
  <c r="BD40" i="15" s="1"/>
  <c r="BE40" i="15" s="1"/>
  <c r="BF40" i="15" s="1"/>
  <c r="BG40" i="15" s="1"/>
  <c r="BH40" i="15" s="1"/>
  <c r="BI40" i="15" s="1"/>
  <c r="BJ40" i="15" s="1"/>
  <c r="BK40" i="15" s="1"/>
  <c r="D24" i="15"/>
  <c r="E24" i="15" s="1"/>
  <c r="F24" i="15" s="1"/>
  <c r="G24" i="15" s="1"/>
  <c r="H24" i="15" s="1"/>
  <c r="I24" i="15" s="1"/>
  <c r="J24" i="15" s="1"/>
  <c r="K24" i="15" s="1"/>
  <c r="L24" i="15" s="1"/>
  <c r="M24" i="15" s="1"/>
  <c r="N24" i="15" s="1"/>
  <c r="O24" i="15" s="1"/>
  <c r="P24" i="15" s="1"/>
  <c r="Q24" i="15" s="1"/>
  <c r="R24" i="15" s="1"/>
  <c r="S24" i="15" s="1"/>
  <c r="T24" i="15" s="1"/>
  <c r="U24" i="15" s="1"/>
  <c r="V24" i="15" s="1"/>
  <c r="W24" i="15" s="1"/>
  <c r="X24" i="15" s="1"/>
  <c r="Y24" i="15" s="1"/>
  <c r="Z24" i="15" s="1"/>
  <c r="AA24" i="15" s="1"/>
  <c r="AB24" i="15" s="1"/>
  <c r="AC24" i="15" s="1"/>
  <c r="AD24" i="15" s="1"/>
  <c r="AE24" i="15" s="1"/>
  <c r="AF24" i="15" s="1"/>
  <c r="AG24" i="15" s="1"/>
  <c r="AH24" i="15" s="1"/>
  <c r="AI24" i="15" s="1"/>
  <c r="AJ24" i="15" s="1"/>
  <c r="AK24" i="15" s="1"/>
  <c r="AL24" i="15" s="1"/>
  <c r="AM24" i="15" s="1"/>
  <c r="AN24" i="15" s="1"/>
  <c r="AO24" i="15" s="1"/>
  <c r="AP24" i="15" s="1"/>
  <c r="AQ24" i="15" s="1"/>
  <c r="AR24" i="15" s="1"/>
  <c r="AS24" i="15" s="1"/>
  <c r="AT24" i="15" s="1"/>
  <c r="AU24" i="15" s="1"/>
  <c r="AV24" i="15" s="1"/>
  <c r="AW24" i="15" s="1"/>
  <c r="AX24" i="15" s="1"/>
  <c r="AY24" i="15" s="1"/>
  <c r="AZ24" i="15" s="1"/>
  <c r="BA24" i="15" s="1"/>
  <c r="BB24" i="15" s="1"/>
  <c r="BC24" i="15" s="1"/>
  <c r="BD24" i="15" s="1"/>
  <c r="BE24" i="15" s="1"/>
  <c r="BF24" i="15" s="1"/>
  <c r="BG24" i="15" s="1"/>
  <c r="BH24" i="15" s="1"/>
  <c r="BI24" i="15" s="1"/>
  <c r="BJ24" i="15" s="1"/>
  <c r="BK24" i="15" s="1"/>
  <c r="AK68" i="15" l="1"/>
  <c r="AM63" i="15"/>
  <c r="AL67" i="15"/>
  <c r="AL69" i="15"/>
  <c r="AL66" i="15"/>
  <c r="AH82" i="15"/>
  <c r="AH83" i="15"/>
  <c r="AH84" i="15"/>
  <c r="AH85" i="15"/>
  <c r="AJ65" i="15"/>
  <c r="AJ72" i="15" s="1"/>
  <c r="AI71" i="15"/>
  <c r="AI70" i="15"/>
  <c r="AI73" i="15"/>
  <c r="AG86" i="15"/>
  <c r="AF19" i="15"/>
  <c r="AE20" i="15"/>
  <c r="E99" i="10"/>
  <c r="F99" i="10"/>
  <c r="G99" i="10"/>
  <c r="H99" i="10"/>
  <c r="I99" i="10"/>
  <c r="J99" i="10"/>
  <c r="K99" i="10"/>
  <c r="L99" i="10"/>
  <c r="M99" i="10"/>
  <c r="N99" i="10"/>
  <c r="O99" i="10"/>
  <c r="P99" i="10"/>
  <c r="Q99" i="10"/>
  <c r="R99" i="10"/>
  <c r="S99" i="10"/>
  <c r="T99" i="10"/>
  <c r="E100" i="10"/>
  <c r="E112" i="10" s="1"/>
  <c r="F100" i="10"/>
  <c r="F112" i="10" s="1"/>
  <c r="G100" i="10"/>
  <c r="G112" i="10" s="1"/>
  <c r="H100" i="10"/>
  <c r="H112" i="10" s="1"/>
  <c r="I100" i="10"/>
  <c r="I112" i="10" s="1"/>
  <c r="J100" i="10"/>
  <c r="J112" i="10" s="1"/>
  <c r="K100" i="10"/>
  <c r="K112" i="10" s="1"/>
  <c r="L100" i="10"/>
  <c r="L112" i="10" s="1"/>
  <c r="M100" i="10"/>
  <c r="M112" i="10" s="1"/>
  <c r="N100" i="10"/>
  <c r="N112" i="10" s="1"/>
  <c r="O100" i="10"/>
  <c r="O112" i="10" s="1"/>
  <c r="P100" i="10"/>
  <c r="P112" i="10" s="1"/>
  <c r="Q100" i="10"/>
  <c r="Q112" i="10" s="1"/>
  <c r="R100" i="10"/>
  <c r="R112" i="10" s="1"/>
  <c r="S100" i="10"/>
  <c r="S112" i="10" s="1"/>
  <c r="E101" i="10"/>
  <c r="F101" i="10"/>
  <c r="G101" i="10"/>
  <c r="H101" i="10"/>
  <c r="I101" i="10"/>
  <c r="J101" i="10"/>
  <c r="K101" i="10"/>
  <c r="L101" i="10"/>
  <c r="M101" i="10"/>
  <c r="N101" i="10"/>
  <c r="O101" i="10"/>
  <c r="P101" i="10"/>
  <c r="Q101" i="10"/>
  <c r="R101" i="10"/>
  <c r="S101" i="10"/>
  <c r="C101" i="10"/>
  <c r="D101" i="10"/>
  <c r="C100" i="10"/>
  <c r="D100" i="10"/>
  <c r="D112" i="10" s="1"/>
  <c r="C99" i="10"/>
  <c r="D99" i="10"/>
  <c r="C114" i="10"/>
  <c r="E114" i="10" s="1"/>
  <c r="C115" i="10"/>
  <c r="E115" i="10" s="1"/>
  <c r="C119" i="10"/>
  <c r="C32" i="15"/>
  <c r="D32" i="15" s="1"/>
  <c r="E32" i="15" s="1"/>
  <c r="F32" i="15" s="1"/>
  <c r="G32" i="15" s="1"/>
  <c r="H32" i="15" s="1"/>
  <c r="I32" i="15" s="1"/>
  <c r="J32" i="15" s="1"/>
  <c r="K32" i="15" s="1"/>
  <c r="L32" i="15" s="1"/>
  <c r="M32" i="15" s="1"/>
  <c r="N32" i="15" s="1"/>
  <c r="O32" i="15" s="1"/>
  <c r="P32" i="15" s="1"/>
  <c r="Q32" i="15" s="1"/>
  <c r="R32" i="15" s="1"/>
  <c r="S32" i="15" s="1"/>
  <c r="T32" i="15" s="1"/>
  <c r="U32" i="15" s="1"/>
  <c r="V32" i="15" s="1"/>
  <c r="W32" i="15" s="1"/>
  <c r="X32" i="15" s="1"/>
  <c r="Y32" i="15" s="1"/>
  <c r="Z32" i="15" s="1"/>
  <c r="AA32" i="15" s="1"/>
  <c r="AB32" i="15" s="1"/>
  <c r="AC32" i="15" s="1"/>
  <c r="AD32" i="15" s="1"/>
  <c r="AE32" i="15" s="1"/>
  <c r="AF32" i="15" s="1"/>
  <c r="AG32" i="15" s="1"/>
  <c r="AH32" i="15" s="1"/>
  <c r="AI32" i="15" s="1"/>
  <c r="AJ32" i="15" s="1"/>
  <c r="AK32" i="15" s="1"/>
  <c r="AL32" i="15" s="1"/>
  <c r="AM32" i="15" s="1"/>
  <c r="AN32" i="15" s="1"/>
  <c r="AO32" i="15" s="1"/>
  <c r="AP32" i="15" s="1"/>
  <c r="AQ32" i="15" s="1"/>
  <c r="AR32" i="15" s="1"/>
  <c r="AS32" i="15" s="1"/>
  <c r="AT32" i="15" s="1"/>
  <c r="AU32" i="15" s="1"/>
  <c r="AV32" i="15" s="1"/>
  <c r="AW32" i="15" s="1"/>
  <c r="AX32" i="15" s="1"/>
  <c r="AY32" i="15" s="1"/>
  <c r="AZ32" i="15" s="1"/>
  <c r="BA32" i="15" s="1"/>
  <c r="BB32" i="15" s="1"/>
  <c r="BC32" i="15" s="1"/>
  <c r="BD32" i="15" s="1"/>
  <c r="BE32" i="15" s="1"/>
  <c r="BF32" i="15" s="1"/>
  <c r="BG32" i="15" s="1"/>
  <c r="BH32" i="15" s="1"/>
  <c r="BI32" i="15" s="1"/>
  <c r="BJ32" i="15" s="1"/>
  <c r="BK32" i="15" s="1"/>
  <c r="AL68" i="15" l="1"/>
  <c r="AN63" i="15"/>
  <c r="AM66" i="15"/>
  <c r="AM69" i="15"/>
  <c r="AM67" i="15"/>
  <c r="AK65" i="15"/>
  <c r="AK72" i="15" s="1"/>
  <c r="AJ73" i="15"/>
  <c r="AJ71" i="15"/>
  <c r="AJ70" i="15"/>
  <c r="AI82" i="15"/>
  <c r="AI83" i="15"/>
  <c r="AI84" i="15"/>
  <c r="AI85" i="15"/>
  <c r="AH86" i="15"/>
  <c r="AG19" i="15"/>
  <c r="AF20" i="15"/>
  <c r="T115" i="10"/>
  <c r="S115" i="10"/>
  <c r="D115" i="10"/>
  <c r="R115" i="10"/>
  <c r="Q115" i="10"/>
  <c r="P115" i="10"/>
  <c r="O115" i="10"/>
  <c r="N115" i="10"/>
  <c r="M115" i="10"/>
  <c r="E116" i="10"/>
  <c r="L115" i="10"/>
  <c r="J115" i="10"/>
  <c r="I115" i="10"/>
  <c r="H115" i="10"/>
  <c r="G115" i="10"/>
  <c r="F115" i="10"/>
  <c r="K115" i="10"/>
  <c r="H114" i="10"/>
  <c r="K114" i="10"/>
  <c r="G114" i="10"/>
  <c r="I114" i="10"/>
  <c r="L114" i="10"/>
  <c r="J114" i="10"/>
  <c r="T114" i="10"/>
  <c r="R114" i="10"/>
  <c r="Q114" i="10"/>
  <c r="P114" i="10"/>
  <c r="O114" i="10"/>
  <c r="N114" i="10"/>
  <c r="M114" i="10"/>
  <c r="F114" i="10"/>
  <c r="D114" i="10"/>
  <c r="AQ15" i="10"/>
  <c r="AR15" i="10"/>
  <c r="AS15" i="10"/>
  <c r="AT15" i="10"/>
  <c r="AU15" i="10"/>
  <c r="AV15" i="10"/>
  <c r="AW15" i="10"/>
  <c r="AX15" i="10"/>
  <c r="AY15" i="10"/>
  <c r="AZ15" i="10"/>
  <c r="BA15" i="10"/>
  <c r="BB15" i="10"/>
  <c r="BC15" i="10"/>
  <c r="BD15" i="10"/>
  <c r="BE15" i="10"/>
  <c r="BF15" i="10"/>
  <c r="AQ16" i="10"/>
  <c r="AR16" i="10"/>
  <c r="AS16" i="10"/>
  <c r="AT16" i="10"/>
  <c r="AU16" i="10"/>
  <c r="AV16" i="10"/>
  <c r="AW16" i="10"/>
  <c r="AX16" i="10"/>
  <c r="AY16" i="10"/>
  <c r="AZ16" i="10"/>
  <c r="BA16" i="10"/>
  <c r="BB16" i="10"/>
  <c r="BC16" i="10"/>
  <c r="BD16" i="10"/>
  <c r="BE16" i="10"/>
  <c r="BF16" i="10"/>
  <c r="AQ17" i="10"/>
  <c r="AR17" i="10"/>
  <c r="AS17" i="10"/>
  <c r="AT17" i="10"/>
  <c r="AU17" i="10"/>
  <c r="AV17" i="10"/>
  <c r="AW17" i="10"/>
  <c r="AX17" i="10"/>
  <c r="AY17" i="10"/>
  <c r="AZ17" i="10"/>
  <c r="BA17" i="10"/>
  <c r="BB17" i="10"/>
  <c r="BC17" i="10"/>
  <c r="BD17" i="10"/>
  <c r="BE17" i="10"/>
  <c r="BF17" i="10"/>
  <c r="AQ21" i="10"/>
  <c r="AR21" i="10"/>
  <c r="AS21" i="10"/>
  <c r="AT21" i="10"/>
  <c r="AU21" i="10"/>
  <c r="AV21" i="10"/>
  <c r="AW21" i="10"/>
  <c r="AX21" i="10"/>
  <c r="AY21" i="10"/>
  <c r="AZ21" i="10"/>
  <c r="BA21" i="10"/>
  <c r="BB21" i="10"/>
  <c r="BC21" i="10"/>
  <c r="BD21" i="10"/>
  <c r="BE21" i="10"/>
  <c r="BF21" i="10"/>
  <c r="AQ22" i="10"/>
  <c r="AR22" i="10"/>
  <c r="AS22" i="10"/>
  <c r="AT22" i="10"/>
  <c r="AU22" i="10"/>
  <c r="AV22" i="10"/>
  <c r="AW22" i="10"/>
  <c r="AX22" i="10"/>
  <c r="AY22" i="10"/>
  <c r="AZ22" i="10"/>
  <c r="BA22" i="10"/>
  <c r="BB22" i="10"/>
  <c r="BC22" i="10"/>
  <c r="BD22" i="10"/>
  <c r="BE22" i="10"/>
  <c r="BF22" i="10"/>
  <c r="AQ23" i="10"/>
  <c r="AR23" i="10"/>
  <c r="AS23" i="10"/>
  <c r="AT23" i="10"/>
  <c r="AU23" i="10"/>
  <c r="AV23" i="10"/>
  <c r="AW23" i="10"/>
  <c r="AX23" i="10"/>
  <c r="AY23" i="10"/>
  <c r="AZ23" i="10"/>
  <c r="BA23" i="10"/>
  <c r="BB23" i="10"/>
  <c r="BC23" i="10"/>
  <c r="BD23" i="10"/>
  <c r="BE23" i="10"/>
  <c r="BF23" i="10"/>
  <c r="AQ25" i="10"/>
  <c r="AR25" i="10"/>
  <c r="AS25" i="10"/>
  <c r="AT25" i="10"/>
  <c r="AU25" i="10"/>
  <c r="AV25" i="10"/>
  <c r="AW25" i="10"/>
  <c r="AX25" i="10"/>
  <c r="AY25" i="10"/>
  <c r="AZ25" i="10"/>
  <c r="BA25" i="10"/>
  <c r="BB25" i="10"/>
  <c r="BC25" i="10"/>
  <c r="BD25" i="10"/>
  <c r="BE25" i="10"/>
  <c r="BF25" i="10"/>
  <c r="AP15" i="10"/>
  <c r="AP16" i="10"/>
  <c r="AP17" i="10"/>
  <c r="AP21" i="10"/>
  <c r="AP22" i="10"/>
  <c r="AP23" i="10"/>
  <c r="AP25" i="10"/>
  <c r="AO13" i="10"/>
  <c r="BC13" i="10" s="1"/>
  <c r="AO12" i="10"/>
  <c r="AO11" i="10"/>
  <c r="AO10" i="10"/>
  <c r="AO9" i="10"/>
  <c r="AO8" i="10"/>
  <c r="AO7" i="10"/>
  <c r="AO6" i="10"/>
  <c r="X26" i="10"/>
  <c r="AQ26" i="10" s="1"/>
  <c r="Y26" i="10"/>
  <c r="AR26" i="10" s="1"/>
  <c r="Z26" i="10"/>
  <c r="AS26" i="10" s="1"/>
  <c r="AA26" i="10"/>
  <c r="AT26" i="10" s="1"/>
  <c r="AB26" i="10"/>
  <c r="AU26" i="10" s="1"/>
  <c r="AC26" i="10"/>
  <c r="AV26" i="10" s="1"/>
  <c r="AD26" i="10"/>
  <c r="AW26" i="10" s="1"/>
  <c r="AE26" i="10"/>
  <c r="AX26" i="10" s="1"/>
  <c r="AF26" i="10"/>
  <c r="AY26" i="10" s="1"/>
  <c r="AG26" i="10"/>
  <c r="AZ26" i="10" s="1"/>
  <c r="AH26" i="10"/>
  <c r="BA26" i="10" s="1"/>
  <c r="AI26" i="10"/>
  <c r="BB26" i="10" s="1"/>
  <c r="AJ26" i="10"/>
  <c r="BC26" i="10" s="1"/>
  <c r="AK26" i="10"/>
  <c r="BD26" i="10" s="1"/>
  <c r="AL26" i="10"/>
  <c r="BE26" i="10" s="1"/>
  <c r="X24" i="10"/>
  <c r="AQ24" i="10" s="1"/>
  <c r="Y24" i="10"/>
  <c r="AR24" i="10" s="1"/>
  <c r="Z24" i="10"/>
  <c r="AS24" i="10" s="1"/>
  <c r="AA24" i="10"/>
  <c r="AT24" i="10" s="1"/>
  <c r="AB24" i="10"/>
  <c r="AU24" i="10" s="1"/>
  <c r="AC24" i="10"/>
  <c r="AV24" i="10" s="1"/>
  <c r="AD24" i="10"/>
  <c r="AW24" i="10" s="1"/>
  <c r="AE24" i="10"/>
  <c r="AX24" i="10" s="1"/>
  <c r="AF24" i="10"/>
  <c r="AY24" i="10" s="1"/>
  <c r="AG24" i="10"/>
  <c r="AZ24" i="10" s="1"/>
  <c r="AH24" i="10"/>
  <c r="BA24" i="10" s="1"/>
  <c r="AI24" i="10"/>
  <c r="BB24" i="10" s="1"/>
  <c r="AJ24" i="10"/>
  <c r="BC24" i="10" s="1"/>
  <c r="AK24" i="10"/>
  <c r="BD24" i="10" s="1"/>
  <c r="AL24" i="10"/>
  <c r="BE24" i="10" s="1"/>
  <c r="W24" i="10"/>
  <c r="AP24" i="10" s="1"/>
  <c r="X20" i="10"/>
  <c r="AQ20" i="10" s="1"/>
  <c r="Y20" i="10"/>
  <c r="AR20" i="10" s="1"/>
  <c r="Z20" i="10"/>
  <c r="AS20" i="10" s="1"/>
  <c r="AA20" i="10"/>
  <c r="AT20" i="10" s="1"/>
  <c r="AB20" i="10"/>
  <c r="AU20" i="10" s="1"/>
  <c r="AC20" i="10"/>
  <c r="AV20" i="10" s="1"/>
  <c r="AD20" i="10"/>
  <c r="AW20" i="10" s="1"/>
  <c r="AE20" i="10"/>
  <c r="AX20" i="10" s="1"/>
  <c r="AF20" i="10"/>
  <c r="AY20" i="10" s="1"/>
  <c r="AG20" i="10"/>
  <c r="AZ20" i="10" s="1"/>
  <c r="AH20" i="10"/>
  <c r="BA20" i="10" s="1"/>
  <c r="AI20" i="10"/>
  <c r="BB20" i="10" s="1"/>
  <c r="AJ20" i="10"/>
  <c r="BC20" i="10" s="1"/>
  <c r="AK20" i="10"/>
  <c r="BD20" i="10" s="1"/>
  <c r="AL20" i="10"/>
  <c r="BE20" i="10" s="1"/>
  <c r="AM20" i="10"/>
  <c r="BF20" i="10" s="1"/>
  <c r="W20" i="10"/>
  <c r="AP20" i="10" s="1"/>
  <c r="X4" i="10"/>
  <c r="AQ4" i="10" s="1"/>
  <c r="Y4" i="10"/>
  <c r="AR4" i="10" s="1"/>
  <c r="Z4" i="10"/>
  <c r="AS4" i="10" s="1"/>
  <c r="AA4" i="10"/>
  <c r="AT4" i="10" s="1"/>
  <c r="AB4" i="10"/>
  <c r="AU4" i="10" s="1"/>
  <c r="AC4" i="10"/>
  <c r="AV4" i="10" s="1"/>
  <c r="AD4" i="10"/>
  <c r="AW4" i="10" s="1"/>
  <c r="AE4" i="10"/>
  <c r="AX4" i="10" s="1"/>
  <c r="AF4" i="10"/>
  <c r="AY4" i="10" s="1"/>
  <c r="AG4" i="10"/>
  <c r="AZ4" i="10" s="1"/>
  <c r="AH4" i="10"/>
  <c r="BA4" i="10" s="1"/>
  <c r="AI4" i="10"/>
  <c r="BB4" i="10" s="1"/>
  <c r="AJ4" i="10"/>
  <c r="BC4" i="10" s="1"/>
  <c r="AK4" i="10"/>
  <c r="BD4" i="10" s="1"/>
  <c r="AL4" i="10"/>
  <c r="BE4" i="10" s="1"/>
  <c r="W4" i="10"/>
  <c r="AP4" i="10" s="1"/>
  <c r="AQ5" i="10"/>
  <c r="AR5" i="10"/>
  <c r="AS5" i="10"/>
  <c r="AT5" i="10"/>
  <c r="AU5" i="10"/>
  <c r="AV5" i="10"/>
  <c r="AW5" i="10"/>
  <c r="AX5" i="10"/>
  <c r="AY5" i="10"/>
  <c r="AZ5" i="10"/>
  <c r="BA5" i="10"/>
  <c r="BB5" i="10"/>
  <c r="BC5" i="10"/>
  <c r="BD5" i="10"/>
  <c r="BE5" i="10"/>
  <c r="AP5" i="10"/>
  <c r="T5" i="10"/>
  <c r="AM5" i="10" s="1"/>
  <c r="AL14" i="10"/>
  <c r="BE14" i="10" s="1"/>
  <c r="W14" i="10"/>
  <c r="AP14" i="10" s="1"/>
  <c r="AL8" i="10"/>
  <c r="AL9" i="10"/>
  <c r="AL10" i="10" s="1"/>
  <c r="AL11" i="10"/>
  <c r="AL12" i="10"/>
  <c r="W12" i="10"/>
  <c r="W11" i="10"/>
  <c r="W9" i="10"/>
  <c r="W10" i="10" s="1"/>
  <c r="W8" i="10"/>
  <c r="AL6" i="10"/>
  <c r="W6" i="10"/>
  <c r="C14" i="12"/>
  <c r="P116" i="10" l="1"/>
  <c r="M78" i="18"/>
  <c r="L78" i="18"/>
  <c r="D78" i="18"/>
  <c r="M76" i="18"/>
  <c r="D76" i="18"/>
  <c r="L76" i="18"/>
  <c r="I76" i="18"/>
  <c r="F78" i="18"/>
  <c r="J78" i="18"/>
  <c r="E76" i="18"/>
  <c r="J76" i="18"/>
  <c r="K78" i="18"/>
  <c r="E78" i="18"/>
  <c r="K76" i="18"/>
  <c r="I78" i="18"/>
  <c r="H78" i="18"/>
  <c r="G78" i="18"/>
  <c r="H76" i="18"/>
  <c r="F76" i="18"/>
  <c r="G76" i="18"/>
  <c r="AO8" i="18"/>
  <c r="L76" i="17"/>
  <c r="M76" i="17"/>
  <c r="D78" i="17"/>
  <c r="AO9" i="18"/>
  <c r="M78" i="17"/>
  <c r="L78" i="17"/>
  <c r="D76" i="17"/>
  <c r="AO9" i="17"/>
  <c r="AO8" i="17"/>
  <c r="G78" i="17"/>
  <c r="J78" i="17"/>
  <c r="E78" i="17"/>
  <c r="H78" i="17"/>
  <c r="K76" i="17"/>
  <c r="J76" i="17"/>
  <c r="E76" i="17"/>
  <c r="K78" i="17"/>
  <c r="F76" i="17"/>
  <c r="H76" i="17"/>
  <c r="G76" i="17"/>
  <c r="F78" i="17"/>
  <c r="I76" i="17"/>
  <c r="I78" i="17"/>
  <c r="AM68" i="15"/>
  <c r="AO63" i="15"/>
  <c r="AN66" i="15"/>
  <c r="AN67" i="15"/>
  <c r="AN69" i="15"/>
  <c r="AI86" i="15"/>
  <c r="AJ82" i="15"/>
  <c r="AJ83" i="15"/>
  <c r="AJ84" i="15"/>
  <c r="AJ85" i="15"/>
  <c r="AL65" i="15"/>
  <c r="AL72" i="15" s="1"/>
  <c r="AK70" i="15"/>
  <c r="AK71" i="15"/>
  <c r="AK73" i="15"/>
  <c r="T116" i="10"/>
  <c r="O116" i="10"/>
  <c r="AH19" i="15"/>
  <c r="AG20" i="15"/>
  <c r="K116" i="10"/>
  <c r="H116" i="10"/>
  <c r="D116" i="10"/>
  <c r="M116" i="10"/>
  <c r="BE11" i="10"/>
  <c r="R116" i="10"/>
  <c r="BE10" i="10"/>
  <c r="BE6" i="10"/>
  <c r="F116" i="10"/>
  <c r="N116" i="10"/>
  <c r="I116" i="10"/>
  <c r="G116" i="10"/>
  <c r="L116" i="10"/>
  <c r="J116" i="10"/>
  <c r="AP10" i="10"/>
  <c r="AP12" i="10"/>
  <c r="AP13" i="10"/>
  <c r="BE8" i="10"/>
  <c r="Q116" i="10"/>
  <c r="BF5" i="10"/>
  <c r="T101" i="10"/>
  <c r="BE13" i="10"/>
  <c r="BB13" i="10"/>
  <c r="BA13" i="10"/>
  <c r="AW13" i="10"/>
  <c r="AU13" i="10"/>
  <c r="AZ13" i="10"/>
  <c r="AY13" i="10"/>
  <c r="AX13" i="10"/>
  <c r="AP11" i="10"/>
  <c r="AV13" i="10"/>
  <c r="AP9" i="10"/>
  <c r="AT13" i="10"/>
  <c r="AP8" i="10"/>
  <c r="AS13" i="10"/>
  <c r="BE12" i="10"/>
  <c r="AP6" i="10"/>
  <c r="AR13" i="10"/>
  <c r="AQ13" i="10"/>
  <c r="BF13" i="10"/>
  <c r="BE9" i="10"/>
  <c r="BD13" i="10"/>
  <c r="T15" i="10"/>
  <c r="T26" i="10"/>
  <c r="T24" i="10"/>
  <c r="AM24" i="10" s="1"/>
  <c r="BF24" i="10" s="1"/>
  <c r="T7" i="10"/>
  <c r="AM7" i="10" s="1"/>
  <c r="BF7" i="10" s="1"/>
  <c r="T8" i="10"/>
  <c r="AM8" i="10" s="1"/>
  <c r="BF8" i="10" s="1"/>
  <c r="T9" i="10"/>
  <c r="T11" i="10"/>
  <c r="AM11" i="10" s="1"/>
  <c r="BF11" i="10" s="1"/>
  <c r="T12" i="10"/>
  <c r="AM12" i="10" s="1"/>
  <c r="BF12" i="10" s="1"/>
  <c r="T13" i="10"/>
  <c r="T14" i="10"/>
  <c r="AM14" i="10" s="1"/>
  <c r="BF14" i="10" s="1"/>
  <c r="T4" i="10"/>
  <c r="T100" i="10" s="1"/>
  <c r="T112" i="10" s="1"/>
  <c r="T6" i="10"/>
  <c r="AM6" i="10" s="1"/>
  <c r="BF6" i="10" s="1"/>
  <c r="BE8" i="17" l="1"/>
  <c r="BB8" i="17"/>
  <c r="AZ8" i="17"/>
  <c r="AW8" i="17"/>
  <c r="AX8" i="17"/>
  <c r="AP8" i="17"/>
  <c r="BC8" i="17"/>
  <c r="BD8" i="17"/>
  <c r="BD27" i="17" s="1"/>
  <c r="AV8" i="17"/>
  <c r="AR8" i="17"/>
  <c r="BA8" i="17"/>
  <c r="AY8" i="17"/>
  <c r="BF8" i="17"/>
  <c r="AS8" i="17"/>
  <c r="AT8" i="17"/>
  <c r="AT27" i="17" s="1"/>
  <c r="AU8" i="17"/>
  <c r="AQ8" i="17"/>
  <c r="BE9" i="17"/>
  <c r="AP9" i="17"/>
  <c r="BB9" i="17"/>
  <c r="BD9" i="17"/>
  <c r="BF9" i="17"/>
  <c r="BC9" i="17"/>
  <c r="AR9" i="17"/>
  <c r="AS9" i="17"/>
  <c r="AQ9" i="17"/>
  <c r="AX9" i="17"/>
  <c r="AV9" i="17"/>
  <c r="AU9" i="17"/>
  <c r="AZ9" i="17"/>
  <c r="BA9" i="17"/>
  <c r="AY9" i="17"/>
  <c r="AT9" i="17"/>
  <c r="AW9" i="17"/>
  <c r="BE9" i="18"/>
  <c r="AP9" i="18"/>
  <c r="AT9" i="18"/>
  <c r="BB9" i="18"/>
  <c r="AZ9" i="18"/>
  <c r="BC9" i="18"/>
  <c r="AS9" i="18"/>
  <c r="AX9" i="18"/>
  <c r="BA9" i="18"/>
  <c r="AU9" i="18"/>
  <c r="AY9" i="18"/>
  <c r="AR9" i="18"/>
  <c r="BF9" i="18"/>
  <c r="BD9" i="18"/>
  <c r="AQ9" i="18"/>
  <c r="AW9" i="18"/>
  <c r="AV9" i="18"/>
  <c r="BE8" i="18"/>
  <c r="AP8" i="18"/>
  <c r="BF8" i="18"/>
  <c r="BC8" i="18"/>
  <c r="AY8" i="18"/>
  <c r="AR8" i="18"/>
  <c r="BB8" i="18"/>
  <c r="AX8" i="18"/>
  <c r="BA8" i="18"/>
  <c r="BA27" i="18" s="1"/>
  <c r="AQ8" i="18"/>
  <c r="AU8" i="18"/>
  <c r="AZ8" i="18"/>
  <c r="BD8" i="18"/>
  <c r="AT8" i="18"/>
  <c r="AV8" i="18"/>
  <c r="AW8" i="18"/>
  <c r="AS8" i="18"/>
  <c r="AN68" i="15"/>
  <c r="AP63" i="15"/>
  <c r="AO69" i="15"/>
  <c r="AO66" i="15"/>
  <c r="AO67" i="15"/>
  <c r="AM65" i="15"/>
  <c r="AM72" i="15" s="1"/>
  <c r="AL71" i="15"/>
  <c r="AL70" i="15"/>
  <c r="AL73" i="15"/>
  <c r="AK82" i="15"/>
  <c r="AK83" i="15"/>
  <c r="AK84" i="15"/>
  <c r="AK85" i="15"/>
  <c r="AJ86" i="15"/>
  <c r="AI19" i="15"/>
  <c r="AH20" i="15"/>
  <c r="T10" i="10"/>
  <c r="AM9" i="10"/>
  <c r="AM26" i="10"/>
  <c r="BF26" i="10" s="1"/>
  <c r="T18" i="10"/>
  <c r="AM4" i="10"/>
  <c r="BF4" i="10" s="1"/>
  <c r="T17" i="10"/>
  <c r="C50" i="11"/>
  <c r="E25" i="10"/>
  <c r="BE27" i="18" l="1"/>
  <c r="BE29" i="18" s="1"/>
  <c r="BD27" i="18"/>
  <c r="BD29" i="18" s="1"/>
  <c r="AX27" i="18"/>
  <c r="AX29" i="18" s="1"/>
  <c r="BA29" i="18"/>
  <c r="BC27" i="17"/>
  <c r="BC27" i="18"/>
  <c r="BC29" i="18" s="1"/>
  <c r="AR27" i="17"/>
  <c r="AV27" i="17"/>
  <c r="AS27" i="17"/>
  <c r="AW27" i="17"/>
  <c r="AW27" i="18"/>
  <c r="AW29" i="18" s="1"/>
  <c r="AV27" i="18"/>
  <c r="AV29" i="18" s="1"/>
  <c r="BB27" i="17"/>
  <c r="BB27" i="18"/>
  <c r="BB29" i="18" s="1"/>
  <c r="AQ27" i="18"/>
  <c r="AQ29" i="18" s="1"/>
  <c r="BE27" i="17"/>
  <c r="BE29" i="17" s="1"/>
  <c r="AY27" i="17"/>
  <c r="AX27" i="17"/>
  <c r="AZ27" i="17"/>
  <c r="BA27" i="17"/>
  <c r="AR27" i="18"/>
  <c r="AR29" i="18" s="1"/>
  <c r="BF27" i="18"/>
  <c r="BF29" i="18" s="1"/>
  <c r="AT27" i="18"/>
  <c r="AT29" i="18" s="1"/>
  <c r="AQ27" i="17"/>
  <c r="AU27" i="17"/>
  <c r="AS27" i="18"/>
  <c r="AS29" i="18" s="1"/>
  <c r="AZ27" i="18"/>
  <c r="AZ29" i="18" s="1"/>
  <c r="AY27" i="18"/>
  <c r="AY29" i="18" s="1"/>
  <c r="AU27" i="18"/>
  <c r="AU29" i="18" s="1"/>
  <c r="BF27" i="17"/>
  <c r="AO68" i="15"/>
  <c r="AQ63" i="15"/>
  <c r="AP69" i="15"/>
  <c r="AP67" i="15"/>
  <c r="AP66" i="15"/>
  <c r="AK86" i="15"/>
  <c r="AL82" i="15"/>
  <c r="AL83" i="15"/>
  <c r="AL84" i="15"/>
  <c r="AL85" i="15"/>
  <c r="AN65" i="15"/>
  <c r="AN72" i="15" s="1"/>
  <c r="AM71" i="15"/>
  <c r="AM73" i="15"/>
  <c r="AM70" i="15"/>
  <c r="AJ19" i="15"/>
  <c r="AI20" i="15"/>
  <c r="AM10" i="10"/>
  <c r="BF10" i="10" s="1"/>
  <c r="BF9" i="10"/>
  <c r="T19" i="10"/>
  <c r="AM19" i="10" s="1"/>
  <c r="BF19" i="10" s="1"/>
  <c r="AM18" i="10"/>
  <c r="BF18" i="10" s="1"/>
  <c r="E168" i="11"/>
  <c r="F169" i="11"/>
  <c r="G168" i="11"/>
  <c r="F168" i="11"/>
  <c r="E160" i="11"/>
  <c r="F160" i="11"/>
  <c r="G160" i="11"/>
  <c r="E161" i="11"/>
  <c r="F161" i="11"/>
  <c r="G161" i="11"/>
  <c r="E162" i="11"/>
  <c r="F162" i="11"/>
  <c r="G162" i="11"/>
  <c r="E163" i="11"/>
  <c r="F163" i="11"/>
  <c r="G163" i="11"/>
  <c r="E164" i="11"/>
  <c r="F164" i="11"/>
  <c r="G164" i="11"/>
  <c r="E165" i="11"/>
  <c r="F165" i="11"/>
  <c r="G165" i="11"/>
  <c r="E56" i="10"/>
  <c r="F56" i="10"/>
  <c r="G56" i="10"/>
  <c r="H56" i="10"/>
  <c r="I56" i="10"/>
  <c r="J56" i="10"/>
  <c r="K56" i="10"/>
  <c r="L56" i="10"/>
  <c r="M56" i="10"/>
  <c r="N56" i="10"/>
  <c r="O56" i="10"/>
  <c r="P56" i="10"/>
  <c r="Q56" i="10"/>
  <c r="R56" i="10"/>
  <c r="S56" i="10"/>
  <c r="T56" i="10"/>
  <c r="D56" i="10"/>
  <c r="F151" i="11"/>
  <c r="E147" i="11"/>
  <c r="E151" i="11" s="1"/>
  <c r="D147" i="11"/>
  <c r="C147" i="11"/>
  <c r="D26" i="10" s="1"/>
  <c r="W26" i="10" s="1"/>
  <c r="AP26" i="10" s="1"/>
  <c r="C122" i="11"/>
  <c r="C123" i="11" s="1"/>
  <c r="C135" i="11"/>
  <c r="D135" i="11"/>
  <c r="E135" i="11"/>
  <c r="F135" i="11"/>
  <c r="G135" i="11"/>
  <c r="H135" i="11"/>
  <c r="I135" i="11"/>
  <c r="J135" i="11"/>
  <c r="K135" i="11"/>
  <c r="L135" i="11"/>
  <c r="M135" i="11"/>
  <c r="N135" i="11"/>
  <c r="C177" i="11"/>
  <c r="D52" i="11"/>
  <c r="E52" i="11"/>
  <c r="F52" i="11"/>
  <c r="C52" i="11"/>
  <c r="F47" i="11"/>
  <c r="D47" i="11"/>
  <c r="E47" i="11"/>
  <c r="C47" i="11"/>
  <c r="F46" i="11"/>
  <c r="D46" i="11"/>
  <c r="E46" i="11"/>
  <c r="C46" i="11"/>
  <c r="D21" i="6"/>
  <c r="D183" i="11" s="1"/>
  <c r="D184" i="11" s="1"/>
  <c r="E21" i="6"/>
  <c r="E183" i="11" s="1"/>
  <c r="E184" i="11" s="1"/>
  <c r="F21" i="6"/>
  <c r="G21" i="6"/>
  <c r="H21" i="6"/>
  <c r="F183" i="11" s="1"/>
  <c r="F184" i="11" s="1"/>
  <c r="I21" i="6"/>
  <c r="J21" i="6"/>
  <c r="C21" i="6"/>
  <c r="E62" i="11" s="1"/>
  <c r="F38" i="11"/>
  <c r="F42" i="11" s="1"/>
  <c r="F44" i="11" s="1"/>
  <c r="D38" i="11"/>
  <c r="D42" i="11" s="1"/>
  <c r="D44" i="11" s="1"/>
  <c r="E38" i="11"/>
  <c r="E42" i="11" s="1"/>
  <c r="E44" i="11" s="1"/>
  <c r="C38" i="11"/>
  <c r="C42" i="11" s="1"/>
  <c r="C44" i="11" s="1"/>
  <c r="C18" i="12"/>
  <c r="D80" i="11"/>
  <c r="E80" i="11"/>
  <c r="F80" i="11"/>
  <c r="G80" i="11"/>
  <c r="H80" i="11"/>
  <c r="I80" i="11"/>
  <c r="J80" i="11"/>
  <c r="K80" i="11"/>
  <c r="L80" i="11"/>
  <c r="M80" i="11"/>
  <c r="N80" i="11"/>
  <c r="C80" i="11"/>
  <c r="D74" i="11"/>
  <c r="E74" i="11"/>
  <c r="F74" i="11"/>
  <c r="G74" i="11"/>
  <c r="H74" i="11"/>
  <c r="I74" i="11"/>
  <c r="J74" i="11"/>
  <c r="K74" i="11"/>
  <c r="L74" i="11"/>
  <c r="M74" i="11"/>
  <c r="N74" i="11"/>
  <c r="C74" i="11"/>
  <c r="O72" i="11"/>
  <c r="O73" i="11"/>
  <c r="C31" i="11"/>
  <c r="C30" i="11"/>
  <c r="C61" i="14"/>
  <c r="C59" i="14"/>
  <c r="C57" i="14"/>
  <c r="C56" i="14"/>
  <c r="C55" i="14"/>
  <c r="C24" i="14"/>
  <c r="D7" i="13" s="1"/>
  <c r="C25" i="14"/>
  <c r="E7" i="13" s="1"/>
  <c r="C26" i="14"/>
  <c r="F7" i="13" s="1"/>
  <c r="C23" i="14"/>
  <c r="C7" i="13" s="1"/>
  <c r="E8" i="14"/>
  <c r="E9" i="14"/>
  <c r="E10" i="14"/>
  <c r="E11" i="14"/>
  <c r="E12" i="14"/>
  <c r="E13" i="14"/>
  <c r="E16" i="14" s="1"/>
  <c r="E14" i="14"/>
  <c r="E15" i="14"/>
  <c r="E7" i="14"/>
  <c r="AQ29" i="17" l="1"/>
  <c r="AY29" i="17"/>
  <c r="AX29" i="17"/>
  <c r="AZ29" i="17"/>
  <c r="BA29" i="17"/>
  <c r="BB29" i="17"/>
  <c r="BF29" i="17"/>
  <c r="AV29" i="17"/>
  <c r="AW29" i="17"/>
  <c r="AT29" i="17"/>
  <c r="AS29" i="17"/>
  <c r="AR29" i="17"/>
  <c r="BC29" i="17"/>
  <c r="AU29" i="17"/>
  <c r="BD29" i="17"/>
  <c r="BF27" i="10"/>
  <c r="E186" i="11"/>
  <c r="E187" i="11" s="1"/>
  <c r="D26" i="18"/>
  <c r="D26" i="17"/>
  <c r="AP68" i="15"/>
  <c r="AR63" i="15"/>
  <c r="AQ66" i="15"/>
  <c r="AQ67" i="15"/>
  <c r="AQ69" i="15"/>
  <c r="AM82" i="15"/>
  <c r="AM83" i="15"/>
  <c r="AM84" i="15"/>
  <c r="AM85" i="15"/>
  <c r="AO65" i="15"/>
  <c r="AO72" i="15" s="1"/>
  <c r="AN70" i="15"/>
  <c r="AN71" i="15"/>
  <c r="AN73" i="15"/>
  <c r="AL86" i="15"/>
  <c r="C118" i="18"/>
  <c r="C124" i="18" s="1"/>
  <c r="C118" i="17"/>
  <c r="C124" i="17" s="1"/>
  <c r="D151" i="11"/>
  <c r="D26" i="16"/>
  <c r="C118" i="10"/>
  <c r="C124" i="10" s="1"/>
  <c r="C118" i="16"/>
  <c r="C124" i="16" s="1"/>
  <c r="D26" i="14"/>
  <c r="J26" i="14" s="1"/>
  <c r="P26" i="14" s="1"/>
  <c r="D25" i="14"/>
  <c r="E25" i="14" s="1"/>
  <c r="C25" i="13" s="1"/>
  <c r="D23" i="14"/>
  <c r="E23" i="14" s="1"/>
  <c r="C23" i="13" s="1"/>
  <c r="AK19" i="15"/>
  <c r="AJ20" i="15"/>
  <c r="D186" i="11"/>
  <c r="D187" i="11" s="1"/>
  <c r="F186" i="11"/>
  <c r="F187" i="11" s="1"/>
  <c r="E64" i="11"/>
  <c r="E63" i="11"/>
  <c r="E65" i="11"/>
  <c r="C37" i="11"/>
  <c r="C53" i="11" s="1"/>
  <c r="D37" i="11"/>
  <c r="D45" i="11" s="1"/>
  <c r="D48" i="11" s="1"/>
  <c r="F37" i="11"/>
  <c r="F45" i="11" s="1"/>
  <c r="F51" i="11" s="1"/>
  <c r="E37" i="11"/>
  <c r="E45" i="11" s="1"/>
  <c r="C186" i="11"/>
  <c r="C187" i="11" s="1"/>
  <c r="F173" i="11"/>
  <c r="G172" i="11"/>
  <c r="F172" i="11"/>
  <c r="E172" i="11"/>
  <c r="G171" i="11"/>
  <c r="G170" i="11"/>
  <c r="F170" i="11"/>
  <c r="E170" i="11"/>
  <c r="E171" i="11"/>
  <c r="G169" i="11"/>
  <c r="G173" i="11"/>
  <c r="E173" i="11"/>
  <c r="F171" i="11"/>
  <c r="E169" i="11"/>
  <c r="C151" i="11"/>
  <c r="C183" i="11"/>
  <c r="C184" i="11" s="1"/>
  <c r="C125" i="11"/>
  <c r="C126" i="11"/>
  <c r="C124" i="11"/>
  <c r="O80" i="11"/>
  <c r="O74" i="11"/>
  <c r="C27" i="14"/>
  <c r="C60" i="14"/>
  <c r="C63" i="14" s="1"/>
  <c r="E58" i="14" s="1"/>
  <c r="D24" i="14"/>
  <c r="F57" i="14" l="1"/>
  <c r="F56" i="14"/>
  <c r="F55" i="14"/>
  <c r="AQ68" i="15"/>
  <c r="W26" i="17"/>
  <c r="AP26" i="17" s="1"/>
  <c r="AP27" i="17" s="1"/>
  <c r="W26" i="18"/>
  <c r="AP26" i="18" s="1"/>
  <c r="AP27" i="18" s="1"/>
  <c r="E26" i="14"/>
  <c r="C26" i="13" s="1"/>
  <c r="AS63" i="15"/>
  <c r="AR67" i="15"/>
  <c r="AR66" i="15"/>
  <c r="AR69" i="15"/>
  <c r="AP65" i="15"/>
  <c r="AP72" i="15" s="1"/>
  <c r="AO73" i="15"/>
  <c r="AO71" i="15"/>
  <c r="AO70" i="15"/>
  <c r="AN82" i="15"/>
  <c r="AN83" i="15"/>
  <c r="AN84" i="15"/>
  <c r="AN85" i="15"/>
  <c r="AM86" i="15"/>
  <c r="J25" i="14"/>
  <c r="P25" i="14" s="1"/>
  <c r="I25" i="14"/>
  <c r="E25" i="13" s="1"/>
  <c r="C45" i="11"/>
  <c r="C51" i="11" s="1"/>
  <c r="C54" i="11" s="1"/>
  <c r="C55" i="11" s="1"/>
  <c r="D32" i="10" s="1"/>
  <c r="D53" i="11"/>
  <c r="F53" i="11"/>
  <c r="F54" i="11" s="1"/>
  <c r="F55" i="11" s="1"/>
  <c r="D32" i="18" s="1"/>
  <c r="W26" i="16"/>
  <c r="AP26" i="16" s="1"/>
  <c r="AP27" i="16" s="1"/>
  <c r="J23" i="14"/>
  <c r="P23" i="14" s="1"/>
  <c r="C33" i="15"/>
  <c r="C49" i="15" s="1"/>
  <c r="D49" i="15" s="1"/>
  <c r="E49" i="15" s="1"/>
  <c r="F49" i="15" s="1"/>
  <c r="G49" i="15" s="1"/>
  <c r="H49" i="15" s="1"/>
  <c r="I49" i="15" s="1"/>
  <c r="J49" i="15" s="1"/>
  <c r="K49" i="15" s="1"/>
  <c r="L49" i="15" s="1"/>
  <c r="M49" i="15" s="1"/>
  <c r="N49" i="15" s="1"/>
  <c r="O49" i="15" s="1"/>
  <c r="P49" i="15" s="1"/>
  <c r="Q49" i="15" s="1"/>
  <c r="K25" i="14"/>
  <c r="C35" i="15"/>
  <c r="C51" i="15" s="1"/>
  <c r="D51" i="15" s="1"/>
  <c r="E51" i="15" s="1"/>
  <c r="F51" i="15" s="1"/>
  <c r="G51" i="15" s="1"/>
  <c r="H51" i="15" s="1"/>
  <c r="I51" i="15" s="1"/>
  <c r="J51" i="15" s="1"/>
  <c r="K51" i="15" s="1"/>
  <c r="L51" i="15" s="1"/>
  <c r="M51" i="15" s="1"/>
  <c r="N51" i="15" s="1"/>
  <c r="O51" i="15" s="1"/>
  <c r="P51" i="15" s="1"/>
  <c r="Q51" i="15" s="1"/>
  <c r="AL19" i="15"/>
  <c r="AK20" i="15"/>
  <c r="I24" i="14"/>
  <c r="E24" i="13" s="1"/>
  <c r="I26" i="14"/>
  <c r="E26" i="13" s="1"/>
  <c r="I23" i="14"/>
  <c r="E23" i="13" s="1"/>
  <c r="C62" i="14"/>
  <c r="D62" i="14" s="1"/>
  <c r="E53" i="11"/>
  <c r="D27" i="14"/>
  <c r="G136" i="11"/>
  <c r="G137" i="11" s="1"/>
  <c r="G138" i="11" s="1"/>
  <c r="I136" i="11"/>
  <c r="I137" i="11" s="1"/>
  <c r="I138" i="11" s="1"/>
  <c r="H136" i="11"/>
  <c r="H137" i="11" s="1"/>
  <c r="H138" i="11" s="1"/>
  <c r="J136" i="11"/>
  <c r="J137" i="11" s="1"/>
  <c r="J138" i="11" s="1"/>
  <c r="K136" i="11"/>
  <c r="K137" i="11" s="1"/>
  <c r="K138" i="11" s="1"/>
  <c r="M136" i="11"/>
  <c r="M137" i="11" s="1"/>
  <c r="M138" i="11" s="1"/>
  <c r="L136" i="11"/>
  <c r="L137" i="11" s="1"/>
  <c r="L138" i="11" s="1"/>
  <c r="N136" i="11"/>
  <c r="N137" i="11" s="1"/>
  <c r="N138" i="11" s="1"/>
  <c r="E136" i="11"/>
  <c r="E137" i="11" s="1"/>
  <c r="E138" i="11" s="1"/>
  <c r="C136" i="11"/>
  <c r="C137" i="11" s="1"/>
  <c r="C138" i="11" s="1"/>
  <c r="F136" i="11"/>
  <c r="F137" i="11" s="1"/>
  <c r="F138" i="11" s="1"/>
  <c r="D136" i="11"/>
  <c r="D137" i="11" s="1"/>
  <c r="D138" i="11" s="1"/>
  <c r="D51" i="11"/>
  <c r="F48" i="11"/>
  <c r="E48" i="11"/>
  <c r="E51" i="11"/>
  <c r="E55" i="14"/>
  <c r="E57" i="14"/>
  <c r="E56" i="14"/>
  <c r="E24" i="14"/>
  <c r="C24" i="13" s="1"/>
  <c r="C27" i="13" s="1"/>
  <c r="J24" i="14"/>
  <c r="P24" i="14" s="1"/>
  <c r="D61" i="14"/>
  <c r="K23" i="14"/>
  <c r="D60" i="14" l="1"/>
  <c r="D59" i="14"/>
  <c r="C36" i="15"/>
  <c r="C52" i="15" s="1"/>
  <c r="D52" i="15" s="1"/>
  <c r="E52" i="15" s="1"/>
  <c r="F52" i="15" s="1"/>
  <c r="G52" i="15" s="1"/>
  <c r="H52" i="15" s="1"/>
  <c r="I52" i="15" s="1"/>
  <c r="J52" i="15" s="1"/>
  <c r="K52" i="15" s="1"/>
  <c r="L52" i="15" s="1"/>
  <c r="M52" i="15" s="1"/>
  <c r="N52" i="15" s="1"/>
  <c r="O52" i="15" s="1"/>
  <c r="P52" i="15" s="1"/>
  <c r="Q52" i="15" s="1"/>
  <c r="K26" i="14"/>
  <c r="E32" i="18"/>
  <c r="AR68" i="15"/>
  <c r="AQ28" i="18"/>
  <c r="AY28" i="18"/>
  <c r="BA28" i="18"/>
  <c r="AU28" i="18"/>
  <c r="AP28" i="18"/>
  <c r="BC28" i="18"/>
  <c r="AS28" i="18"/>
  <c r="BF28" i="18"/>
  <c r="AX28" i="18"/>
  <c r="AZ28" i="18"/>
  <c r="AV28" i="18"/>
  <c r="BE28" i="18"/>
  <c r="AP29" i="18"/>
  <c r="BB28" i="18"/>
  <c r="AW28" i="18"/>
  <c r="AR28" i="18"/>
  <c r="AT28" i="18"/>
  <c r="BD28" i="18"/>
  <c r="AY28" i="17"/>
  <c r="BA28" i="17"/>
  <c r="BF28" i="17"/>
  <c r="AP28" i="17"/>
  <c r="AS28" i="17"/>
  <c r="AU28" i="17"/>
  <c r="AZ28" i="17"/>
  <c r="AX28" i="17"/>
  <c r="BE28" i="17"/>
  <c r="BB28" i="17"/>
  <c r="AR28" i="17"/>
  <c r="AW28" i="17"/>
  <c r="AV28" i="17"/>
  <c r="BD28" i="17"/>
  <c r="BC28" i="17"/>
  <c r="AP29" i="17"/>
  <c r="AT28" i="17"/>
  <c r="AQ28" i="17"/>
  <c r="BK35" i="15"/>
  <c r="O25" i="14"/>
  <c r="AT63" i="15"/>
  <c r="AS66" i="15"/>
  <c r="AS69" i="15"/>
  <c r="AS67" i="15"/>
  <c r="AO82" i="15"/>
  <c r="AO83" i="15"/>
  <c r="AO84" i="15"/>
  <c r="AO85" i="15"/>
  <c r="AN86" i="15"/>
  <c r="AQ65" i="15"/>
  <c r="AQ72" i="15" s="1"/>
  <c r="AP73" i="15"/>
  <c r="AP70" i="15"/>
  <c r="AP71" i="15"/>
  <c r="E27" i="13"/>
  <c r="AS28" i="16"/>
  <c r="AQ28" i="16"/>
  <c r="AZ28" i="16"/>
  <c r="AY28" i="16"/>
  <c r="AX28" i="16"/>
  <c r="BD28" i="16"/>
  <c r="AT28" i="16"/>
  <c r="AP29" i="16"/>
  <c r="AW28" i="16"/>
  <c r="AU28" i="16"/>
  <c r="AR28" i="16"/>
  <c r="BE28" i="16"/>
  <c r="BA28" i="16"/>
  <c r="BB28" i="16"/>
  <c r="BF28" i="16"/>
  <c r="AV28" i="16"/>
  <c r="BC28" i="16"/>
  <c r="AP28" i="16"/>
  <c r="C48" i="11"/>
  <c r="D54" i="11"/>
  <c r="D55" i="11" s="1"/>
  <c r="D32" i="16" s="1"/>
  <c r="C41" i="15"/>
  <c r="C91" i="15" s="1"/>
  <c r="K24" i="14"/>
  <c r="C34" i="15"/>
  <c r="C50" i="15" s="1"/>
  <c r="AM19" i="15"/>
  <c r="AL20" i="15"/>
  <c r="BK34" i="15"/>
  <c r="O24" i="14"/>
  <c r="C43" i="15"/>
  <c r="C93" i="15" s="1"/>
  <c r="BK33" i="15"/>
  <c r="O23" i="14"/>
  <c r="BK36" i="15"/>
  <c r="O26" i="14"/>
  <c r="E27" i="14"/>
  <c r="E54" i="11"/>
  <c r="E55" i="11" s="1"/>
  <c r="D32" i="17" s="1"/>
  <c r="G26" i="14"/>
  <c r="G23" i="14"/>
  <c r="G25" i="14"/>
  <c r="F27" i="14"/>
  <c r="G27" i="14"/>
  <c r="H27" i="14"/>
  <c r="I27" i="14"/>
  <c r="H26" i="14"/>
  <c r="H23" i="14"/>
  <c r="H25" i="14"/>
  <c r="F26" i="14"/>
  <c r="F23" i="14"/>
  <c r="F25" i="14"/>
  <c r="F24" i="14"/>
  <c r="G24" i="14"/>
  <c r="H24" i="14"/>
  <c r="C139" i="11"/>
  <c r="C143" i="11" s="1"/>
  <c r="J27" i="14"/>
  <c r="P27" i="14" s="1"/>
  <c r="F25" i="10"/>
  <c r="G25" i="10" s="1"/>
  <c r="H25" i="10" s="1"/>
  <c r="I25" i="10" s="1"/>
  <c r="J25" i="10" s="1"/>
  <c r="K25" i="10" s="1"/>
  <c r="L25" i="10" s="1"/>
  <c r="M25" i="10" s="1"/>
  <c r="N25" i="10" s="1"/>
  <c r="O25" i="10" s="1"/>
  <c r="P25" i="10" s="1"/>
  <c r="Q25" i="10" s="1"/>
  <c r="R25" i="10" s="1"/>
  <c r="S25" i="10" s="1"/>
  <c r="T25" i="10" s="1"/>
  <c r="F33" i="10"/>
  <c r="F36" i="10" s="1"/>
  <c r="H33" i="10"/>
  <c r="H36" i="10" s="1"/>
  <c r="J33" i="10"/>
  <c r="J36" i="10" s="1"/>
  <c r="L33" i="10"/>
  <c r="L36" i="10" s="1"/>
  <c r="N33" i="10"/>
  <c r="N36" i="10" s="1"/>
  <c r="P33" i="10"/>
  <c r="P36" i="10" s="1"/>
  <c r="R33" i="10"/>
  <c r="R36" i="10" s="1"/>
  <c r="S33" i="10"/>
  <c r="S36" i="10" s="1"/>
  <c r="E17" i="10"/>
  <c r="F17" i="10"/>
  <c r="G17" i="10"/>
  <c r="H17" i="10"/>
  <c r="I17" i="10"/>
  <c r="J17" i="10"/>
  <c r="K17" i="10"/>
  <c r="L17" i="10"/>
  <c r="M17" i="10"/>
  <c r="N17" i="10"/>
  <c r="O17" i="10"/>
  <c r="P17" i="10"/>
  <c r="Q17" i="10"/>
  <c r="R17" i="10"/>
  <c r="S17" i="10"/>
  <c r="D17" i="10"/>
  <c r="E16" i="10"/>
  <c r="G16" i="10"/>
  <c r="I16" i="10"/>
  <c r="K16" i="10"/>
  <c r="M16" i="10"/>
  <c r="O16" i="10"/>
  <c r="Q16" i="10"/>
  <c r="D16" i="10"/>
  <c r="R28" i="10"/>
  <c r="S28" i="10" s="1"/>
  <c r="T28" i="10" s="1"/>
  <c r="T30" i="10" s="1"/>
  <c r="P28" i="10"/>
  <c r="N28" i="10"/>
  <c r="L28" i="10"/>
  <c r="J28" i="10"/>
  <c r="H28" i="10"/>
  <c r="F28" i="10"/>
  <c r="R18" i="10"/>
  <c r="R13" i="10"/>
  <c r="P13" i="10"/>
  <c r="N13" i="10"/>
  <c r="L13" i="10"/>
  <c r="J13" i="10"/>
  <c r="H13" i="10"/>
  <c r="F13" i="10"/>
  <c r="F18" i="10"/>
  <c r="G18" i="10"/>
  <c r="H18" i="10"/>
  <c r="I18" i="10"/>
  <c r="J18" i="10"/>
  <c r="K18" i="10"/>
  <c r="L18" i="10"/>
  <c r="M18" i="10"/>
  <c r="N18" i="10"/>
  <c r="O18" i="10"/>
  <c r="P18" i="10"/>
  <c r="Q18" i="10"/>
  <c r="C17" i="11"/>
  <c r="D16" i="11"/>
  <c r="E16" i="11" s="1"/>
  <c r="F16" i="11" s="1"/>
  <c r="G16" i="11" s="1"/>
  <c r="H16" i="11" s="1"/>
  <c r="I16" i="11" s="1"/>
  <c r="J16" i="11" s="1"/>
  <c r="K16" i="11" s="1"/>
  <c r="L16" i="11" s="1"/>
  <c r="M16" i="11" s="1"/>
  <c r="C44" i="15" l="1"/>
  <c r="C94" i="15" s="1"/>
  <c r="M35" i="18"/>
  <c r="M38" i="18" s="1"/>
  <c r="L35" i="18"/>
  <c r="L38" i="18" s="1"/>
  <c r="K35" i="18"/>
  <c r="K38" i="18" s="1"/>
  <c r="J35" i="18"/>
  <c r="J38" i="18" s="1"/>
  <c r="I35" i="18"/>
  <c r="I38" i="18" s="1"/>
  <c r="H35" i="18"/>
  <c r="H38" i="18" s="1"/>
  <c r="G35" i="18"/>
  <c r="G38" i="18" s="1"/>
  <c r="F35" i="18"/>
  <c r="F38" i="18" s="1"/>
  <c r="E35" i="18"/>
  <c r="E38" i="18" s="1"/>
  <c r="S35" i="18"/>
  <c r="S38" i="18" s="1"/>
  <c r="R35" i="18"/>
  <c r="R38" i="18" s="1"/>
  <c r="Q35" i="18"/>
  <c r="Q38" i="18" s="1"/>
  <c r="P35" i="18"/>
  <c r="P38" i="18" s="1"/>
  <c r="O35" i="18"/>
  <c r="O38" i="18" s="1"/>
  <c r="N35" i="18"/>
  <c r="N38" i="18" s="1"/>
  <c r="T35" i="18"/>
  <c r="T38" i="18" s="1"/>
  <c r="G35" i="17"/>
  <c r="G38" i="17" s="1"/>
  <c r="S35" i="17"/>
  <c r="S38" i="17" s="1"/>
  <c r="R35" i="17"/>
  <c r="R38" i="17" s="1"/>
  <c r="Q35" i="17"/>
  <c r="Q38" i="17" s="1"/>
  <c r="P35" i="17"/>
  <c r="P38" i="17" s="1"/>
  <c r="O35" i="17"/>
  <c r="O38" i="17" s="1"/>
  <c r="N35" i="17"/>
  <c r="N38" i="17" s="1"/>
  <c r="M35" i="17"/>
  <c r="M38" i="17" s="1"/>
  <c r="L35" i="17"/>
  <c r="L38" i="17" s="1"/>
  <c r="K35" i="17"/>
  <c r="K38" i="17" s="1"/>
  <c r="J35" i="17"/>
  <c r="J38" i="17" s="1"/>
  <c r="H35" i="17"/>
  <c r="H38" i="17" s="1"/>
  <c r="I35" i="17"/>
  <c r="I38" i="17" s="1"/>
  <c r="F35" i="17"/>
  <c r="F38" i="17" s="1"/>
  <c r="E35" i="17"/>
  <c r="E38" i="17" s="1"/>
  <c r="T35" i="17"/>
  <c r="T38" i="17" s="1"/>
  <c r="D35" i="18"/>
  <c r="D38" i="18" s="1"/>
  <c r="D35" i="17"/>
  <c r="D38" i="17" s="1"/>
  <c r="AS68" i="15"/>
  <c r="F32" i="18"/>
  <c r="G32" i="18" s="1"/>
  <c r="E32" i="17"/>
  <c r="AU63" i="15"/>
  <c r="AT67" i="15"/>
  <c r="AT66" i="15"/>
  <c r="AT69" i="15"/>
  <c r="AR65" i="15"/>
  <c r="AR72" i="15" s="1"/>
  <c r="AQ70" i="15"/>
  <c r="AQ73" i="15"/>
  <c r="AQ71" i="15"/>
  <c r="AP82" i="15"/>
  <c r="AP83" i="15"/>
  <c r="AP84" i="15"/>
  <c r="AP85" i="15"/>
  <c r="AO86" i="15"/>
  <c r="D23" i="13"/>
  <c r="D24" i="13"/>
  <c r="D25" i="13"/>
  <c r="D26" i="13"/>
  <c r="E32" i="16"/>
  <c r="T35" i="10"/>
  <c r="T38" i="10" s="1"/>
  <c r="S35" i="16"/>
  <c r="S38" i="16" s="1"/>
  <c r="R35" i="16"/>
  <c r="R38" i="16" s="1"/>
  <c r="T35" i="16"/>
  <c r="T38" i="16" s="1"/>
  <c r="Q35" i="16"/>
  <c r="Q38" i="16" s="1"/>
  <c r="M35" i="16"/>
  <c r="M38" i="16" s="1"/>
  <c r="L35" i="16"/>
  <c r="L38" i="16" s="1"/>
  <c r="P35" i="16"/>
  <c r="P38" i="16" s="1"/>
  <c r="O35" i="16"/>
  <c r="O38" i="16" s="1"/>
  <c r="N35" i="16"/>
  <c r="N38" i="16" s="1"/>
  <c r="K35" i="16"/>
  <c r="K38" i="16" s="1"/>
  <c r="J35" i="16"/>
  <c r="J38" i="16" s="1"/>
  <c r="I35" i="16"/>
  <c r="I38" i="16" s="1"/>
  <c r="H35" i="16"/>
  <c r="H38" i="16" s="1"/>
  <c r="G35" i="16"/>
  <c r="G38" i="16" s="1"/>
  <c r="F35" i="16"/>
  <c r="F38" i="16" s="1"/>
  <c r="E35" i="16"/>
  <c r="E38" i="16" s="1"/>
  <c r="D35" i="16"/>
  <c r="D38" i="16" s="1"/>
  <c r="D50" i="15"/>
  <c r="E50" i="15" s="1"/>
  <c r="F50" i="15" s="1"/>
  <c r="G50" i="15" s="1"/>
  <c r="H50" i="15" s="1"/>
  <c r="I50" i="15" s="1"/>
  <c r="J50" i="15" s="1"/>
  <c r="K50" i="15" s="1"/>
  <c r="L50" i="15" s="1"/>
  <c r="M50" i="15" s="1"/>
  <c r="N50" i="15" s="1"/>
  <c r="O50" i="15" s="1"/>
  <c r="P50" i="15" s="1"/>
  <c r="Q50" i="15" s="1"/>
  <c r="C57" i="15"/>
  <c r="AB36" i="15"/>
  <c r="M26" i="14"/>
  <c r="BA34" i="15"/>
  <c r="N24" i="14"/>
  <c r="R37" i="15"/>
  <c r="L27" i="14"/>
  <c r="BA35" i="15"/>
  <c r="N25" i="14"/>
  <c r="K27" i="14"/>
  <c r="C37" i="15"/>
  <c r="AB34" i="15"/>
  <c r="M24" i="14"/>
  <c r="R34" i="15"/>
  <c r="L24" i="14"/>
  <c r="BA36" i="15"/>
  <c r="N26" i="14"/>
  <c r="AB33" i="15"/>
  <c r="M23" i="14"/>
  <c r="R36" i="15"/>
  <c r="R52" i="15" s="1"/>
  <c r="S52" i="15" s="1"/>
  <c r="T52" i="15" s="1"/>
  <c r="U52" i="15" s="1"/>
  <c r="V52" i="15" s="1"/>
  <c r="W52" i="15" s="1"/>
  <c r="X52" i="15" s="1"/>
  <c r="Y52" i="15" s="1"/>
  <c r="Z52" i="15" s="1"/>
  <c r="AA52" i="15" s="1"/>
  <c r="L26" i="14"/>
  <c r="O27" i="14"/>
  <c r="BK37" i="15"/>
  <c r="AN19" i="15"/>
  <c r="AM20" i="15"/>
  <c r="AB35" i="15"/>
  <c r="M25" i="14"/>
  <c r="R33" i="15"/>
  <c r="R49" i="15" s="1"/>
  <c r="S49" i="15" s="1"/>
  <c r="T49" i="15" s="1"/>
  <c r="U49" i="15" s="1"/>
  <c r="V49" i="15" s="1"/>
  <c r="W49" i="15" s="1"/>
  <c r="X49" i="15" s="1"/>
  <c r="Y49" i="15" s="1"/>
  <c r="Z49" i="15" s="1"/>
  <c r="AA49" i="15" s="1"/>
  <c r="L23" i="14"/>
  <c r="N27" i="14"/>
  <c r="BA37" i="15"/>
  <c r="C42" i="15"/>
  <c r="R35" i="15"/>
  <c r="R51" i="15" s="1"/>
  <c r="S51" i="15" s="1"/>
  <c r="T51" i="15" s="1"/>
  <c r="U51" i="15" s="1"/>
  <c r="V51" i="15" s="1"/>
  <c r="W51" i="15" s="1"/>
  <c r="X51" i="15" s="1"/>
  <c r="Y51" i="15" s="1"/>
  <c r="Z51" i="15" s="1"/>
  <c r="AA51" i="15" s="1"/>
  <c r="L25" i="14"/>
  <c r="BA33" i="15"/>
  <c r="N23" i="14"/>
  <c r="M27" i="14"/>
  <c r="AB37" i="15"/>
  <c r="Q19" i="10"/>
  <c r="AJ19" i="10" s="1"/>
  <c r="BC19" i="10" s="1"/>
  <c r="AJ18" i="10"/>
  <c r="BC18" i="10" s="1"/>
  <c r="O19" i="10"/>
  <c r="AH19" i="10" s="1"/>
  <c r="BA19" i="10" s="1"/>
  <c r="AH18" i="10"/>
  <c r="BA18" i="10" s="1"/>
  <c r="I19" i="10"/>
  <c r="AB19" i="10" s="1"/>
  <c r="AU19" i="10" s="1"/>
  <c r="AB18" i="10"/>
  <c r="AU18" i="10" s="1"/>
  <c r="K19" i="10"/>
  <c r="AD19" i="10" s="1"/>
  <c r="AW19" i="10" s="1"/>
  <c r="AD18" i="10"/>
  <c r="AW18" i="10" s="1"/>
  <c r="M19" i="10"/>
  <c r="AF19" i="10" s="1"/>
  <c r="AY19" i="10" s="1"/>
  <c r="AF18" i="10"/>
  <c r="AY18" i="10" s="1"/>
  <c r="L19" i="10"/>
  <c r="AE19" i="10" s="1"/>
  <c r="AX19" i="10" s="1"/>
  <c r="AE18" i="10"/>
  <c r="AX18" i="10" s="1"/>
  <c r="R19" i="10"/>
  <c r="AK19" i="10" s="1"/>
  <c r="BD19" i="10" s="1"/>
  <c r="AK18" i="10"/>
  <c r="BD18" i="10" s="1"/>
  <c r="J19" i="10"/>
  <c r="AC19" i="10" s="1"/>
  <c r="AV19" i="10" s="1"/>
  <c r="AC18" i="10"/>
  <c r="AV18" i="10" s="1"/>
  <c r="F19" i="10"/>
  <c r="Y19" i="10" s="1"/>
  <c r="AR19" i="10" s="1"/>
  <c r="Y18" i="10"/>
  <c r="AR18" i="10" s="1"/>
  <c r="N19" i="10"/>
  <c r="AG19" i="10" s="1"/>
  <c r="AZ19" i="10" s="1"/>
  <c r="AG18" i="10"/>
  <c r="AZ18" i="10" s="1"/>
  <c r="G19" i="10"/>
  <c r="Z19" i="10" s="1"/>
  <c r="AS19" i="10" s="1"/>
  <c r="Z18" i="10"/>
  <c r="AS18" i="10" s="1"/>
  <c r="P19" i="10"/>
  <c r="AI19" i="10" s="1"/>
  <c r="BB19" i="10" s="1"/>
  <c r="AI18" i="10"/>
  <c r="BB18" i="10" s="1"/>
  <c r="H19" i="10"/>
  <c r="AA19" i="10" s="1"/>
  <c r="AT19" i="10" s="1"/>
  <c r="AA18" i="10"/>
  <c r="AT18" i="10" s="1"/>
  <c r="D152" i="11"/>
  <c r="D153" i="11" s="1"/>
  <c r="D154" i="11" s="1"/>
  <c r="E152" i="11"/>
  <c r="E153" i="11" s="1"/>
  <c r="E154" i="11" s="1"/>
  <c r="F152" i="11"/>
  <c r="F153" i="11" s="1"/>
  <c r="F154" i="11" s="1"/>
  <c r="C152" i="11"/>
  <c r="C153" i="11" s="1"/>
  <c r="C154" i="11" s="1"/>
  <c r="N35" i="10"/>
  <c r="N38" i="10" s="1"/>
  <c r="C148" i="11"/>
  <c r="C149" i="11" s="1"/>
  <c r="D148" i="11"/>
  <c r="D149" i="11" s="1"/>
  <c r="E148" i="11"/>
  <c r="E149" i="11" s="1"/>
  <c r="F148" i="11"/>
  <c r="F149" i="11" s="1"/>
  <c r="P35" i="10"/>
  <c r="P38" i="10" s="1"/>
  <c r="O35" i="10"/>
  <c r="O38" i="10" s="1"/>
  <c r="C178" i="11"/>
  <c r="R35" i="10"/>
  <c r="R38" i="10" s="1"/>
  <c r="M35" i="10"/>
  <c r="M38" i="10" s="1"/>
  <c r="S35" i="10"/>
  <c r="S38" i="10" s="1"/>
  <c r="L35" i="10"/>
  <c r="L38" i="10" s="1"/>
  <c r="K35" i="10"/>
  <c r="K38" i="10" s="1"/>
  <c r="Q35" i="10"/>
  <c r="Q38" i="10" s="1"/>
  <c r="J35" i="10"/>
  <c r="J38" i="10" s="1"/>
  <c r="H35" i="10"/>
  <c r="H38" i="10" s="1"/>
  <c r="G35" i="10"/>
  <c r="G38" i="10" s="1"/>
  <c r="I35" i="10"/>
  <c r="I38" i="10" s="1"/>
  <c r="F35" i="10"/>
  <c r="F38" i="10" s="1"/>
  <c r="E35" i="10"/>
  <c r="E38" i="10" s="1"/>
  <c r="P30" i="10"/>
  <c r="R30" i="10"/>
  <c r="F30" i="10"/>
  <c r="L30" i="10"/>
  <c r="J30" i="10"/>
  <c r="C18" i="11"/>
  <c r="H30" i="10"/>
  <c r="S30" i="10"/>
  <c r="N30" i="10"/>
  <c r="C246" i="11"/>
  <c r="G243" i="11" s="1"/>
  <c r="O241" i="11"/>
  <c r="E242" i="11" s="1"/>
  <c r="O237" i="11"/>
  <c r="N238" i="11" s="1"/>
  <c r="C232" i="11"/>
  <c r="O227" i="11"/>
  <c r="D228" i="11" s="1"/>
  <c r="O223" i="11"/>
  <c r="J224" i="11" s="1"/>
  <c r="L76" i="10"/>
  <c r="M76" i="10"/>
  <c r="M77" i="10"/>
  <c r="L78" i="10"/>
  <c r="M78" i="10"/>
  <c r="L79" i="10"/>
  <c r="M79" i="10"/>
  <c r="L80" i="10"/>
  <c r="M80" i="10"/>
  <c r="D80" i="10"/>
  <c r="D79" i="10"/>
  <c r="D78" i="10"/>
  <c r="D76" i="10"/>
  <c r="Q28" i="10"/>
  <c r="Q30" i="10" s="1"/>
  <c r="O28" i="10"/>
  <c r="O30" i="10" s="1"/>
  <c r="M28" i="10"/>
  <c r="M30" i="10" s="1"/>
  <c r="K28" i="10"/>
  <c r="K30" i="10" s="1"/>
  <c r="I28" i="10"/>
  <c r="I30" i="10" s="1"/>
  <c r="G28" i="10"/>
  <c r="G30" i="10" s="1"/>
  <c r="E28" i="10"/>
  <c r="I27" i="10"/>
  <c r="G87" i="10" s="1"/>
  <c r="K27" i="10"/>
  <c r="H87" i="10" s="1"/>
  <c r="M27" i="10"/>
  <c r="I87" i="10" s="1"/>
  <c r="Q27" i="10"/>
  <c r="K87" i="10" s="1"/>
  <c r="O27" i="10"/>
  <c r="J87" i="10" s="1"/>
  <c r="G27" i="10"/>
  <c r="F87" i="10" s="1"/>
  <c r="E27" i="10"/>
  <c r="E87" i="10" s="1"/>
  <c r="E18" i="10"/>
  <c r="E7" i="10"/>
  <c r="E8" i="10"/>
  <c r="X8" i="10" s="1"/>
  <c r="AQ8" i="10" s="1"/>
  <c r="E9" i="10"/>
  <c r="E10" i="10"/>
  <c r="F10" i="10" s="1"/>
  <c r="E11" i="10"/>
  <c r="X11" i="10" s="1"/>
  <c r="AQ11" i="10" s="1"/>
  <c r="E12" i="10"/>
  <c r="X12" i="10" s="1"/>
  <c r="AQ12" i="10" s="1"/>
  <c r="E14" i="10"/>
  <c r="X14" i="10" s="1"/>
  <c r="AQ14" i="10" s="1"/>
  <c r="E15" i="10"/>
  <c r="E6" i="10"/>
  <c r="D35" i="10"/>
  <c r="D38" i="10" s="1"/>
  <c r="D18" i="10"/>
  <c r="S18" i="10"/>
  <c r="G7" i="10"/>
  <c r="Z7" i="10" s="1"/>
  <c r="AS7" i="10" s="1"/>
  <c r="I7" i="10"/>
  <c r="K7" i="10"/>
  <c r="M7" i="10"/>
  <c r="O7" i="10"/>
  <c r="Q7" i="10"/>
  <c r="AJ7" i="10" s="1"/>
  <c r="BC7" i="10" s="1"/>
  <c r="G8" i="10"/>
  <c r="Z8" i="10" s="1"/>
  <c r="AS8" i="10" s="1"/>
  <c r="I8" i="10"/>
  <c r="AB8" i="10" s="1"/>
  <c r="AU8" i="10" s="1"/>
  <c r="K8" i="10"/>
  <c r="AD8" i="10" s="1"/>
  <c r="AW8" i="10" s="1"/>
  <c r="M8" i="10"/>
  <c r="AF8" i="10" s="1"/>
  <c r="AY8" i="10" s="1"/>
  <c r="O8" i="10"/>
  <c r="AH8" i="10" s="1"/>
  <c r="BA8" i="10" s="1"/>
  <c r="Q8" i="10"/>
  <c r="AJ8" i="10" s="1"/>
  <c r="BC8" i="10" s="1"/>
  <c r="G9" i="10"/>
  <c r="I9" i="10"/>
  <c r="K9" i="10"/>
  <c r="M9" i="10"/>
  <c r="O9" i="10"/>
  <c r="Q9" i="10"/>
  <c r="G10" i="10"/>
  <c r="H10" i="10" s="1"/>
  <c r="I10" i="10"/>
  <c r="J10" i="10" s="1"/>
  <c r="K10" i="10"/>
  <c r="L10" i="10" s="1"/>
  <c r="M10" i="10"/>
  <c r="N10" i="10" s="1"/>
  <c r="O10" i="10"/>
  <c r="Q10" i="10"/>
  <c r="R10" i="10" s="1"/>
  <c r="G11" i="10"/>
  <c r="Z11" i="10" s="1"/>
  <c r="AS11" i="10" s="1"/>
  <c r="I11" i="10"/>
  <c r="AB11" i="10" s="1"/>
  <c r="AU11" i="10" s="1"/>
  <c r="K11" i="10"/>
  <c r="AD11" i="10" s="1"/>
  <c r="AW11" i="10" s="1"/>
  <c r="M11" i="10"/>
  <c r="AF11" i="10" s="1"/>
  <c r="AY11" i="10" s="1"/>
  <c r="O11" i="10"/>
  <c r="AH11" i="10" s="1"/>
  <c r="BA11" i="10" s="1"/>
  <c r="Q11" i="10"/>
  <c r="AJ11" i="10" s="1"/>
  <c r="BC11" i="10" s="1"/>
  <c r="G12" i="10"/>
  <c r="Z12" i="10" s="1"/>
  <c r="AS12" i="10" s="1"/>
  <c r="I12" i="10"/>
  <c r="AB12" i="10" s="1"/>
  <c r="AU12" i="10" s="1"/>
  <c r="K12" i="10"/>
  <c r="AD12" i="10" s="1"/>
  <c r="AW12" i="10" s="1"/>
  <c r="M12" i="10"/>
  <c r="AF12" i="10" s="1"/>
  <c r="AY12" i="10" s="1"/>
  <c r="O12" i="10"/>
  <c r="AH12" i="10" s="1"/>
  <c r="BA12" i="10" s="1"/>
  <c r="Q12" i="10"/>
  <c r="AJ12" i="10" s="1"/>
  <c r="BC12" i="10" s="1"/>
  <c r="G14" i="10"/>
  <c r="Z14" i="10" s="1"/>
  <c r="AS14" i="10" s="1"/>
  <c r="I14" i="10"/>
  <c r="AB14" i="10" s="1"/>
  <c r="AU14" i="10" s="1"/>
  <c r="K14" i="10"/>
  <c r="AD14" i="10" s="1"/>
  <c r="AW14" i="10" s="1"/>
  <c r="M14" i="10"/>
  <c r="AF14" i="10" s="1"/>
  <c r="AY14" i="10" s="1"/>
  <c r="O14" i="10"/>
  <c r="AH14" i="10" s="1"/>
  <c r="BA14" i="10" s="1"/>
  <c r="Q14" i="10"/>
  <c r="AJ14" i="10" s="1"/>
  <c r="BC14" i="10" s="1"/>
  <c r="G15" i="10"/>
  <c r="I15" i="10"/>
  <c r="K15" i="10"/>
  <c r="M15" i="10"/>
  <c r="O15" i="10"/>
  <c r="Q15" i="10"/>
  <c r="I6" i="10"/>
  <c r="K6" i="10"/>
  <c r="M6" i="10"/>
  <c r="O6" i="10"/>
  <c r="Q6" i="10"/>
  <c r="G6" i="10"/>
  <c r="T16" i="18" l="1"/>
  <c r="T16" i="17"/>
  <c r="T16" i="16"/>
  <c r="AB51" i="15"/>
  <c r="AC51" i="15" s="1"/>
  <c r="AD51" i="15" s="1"/>
  <c r="AE51" i="15" s="1"/>
  <c r="AF51" i="15" s="1"/>
  <c r="AG51" i="15" s="1"/>
  <c r="AH51" i="15" s="1"/>
  <c r="AI51" i="15" s="1"/>
  <c r="AJ51" i="15" s="1"/>
  <c r="AK51" i="15" s="1"/>
  <c r="AL51" i="15" s="1"/>
  <c r="AM51" i="15" s="1"/>
  <c r="AN51" i="15" s="1"/>
  <c r="AO51" i="15" s="1"/>
  <c r="AP51" i="15" s="1"/>
  <c r="AQ51" i="15" s="1"/>
  <c r="AR51" i="15" s="1"/>
  <c r="AS51" i="15" s="1"/>
  <c r="AT51" i="15" s="1"/>
  <c r="AU51" i="15" s="1"/>
  <c r="AV51" i="15" s="1"/>
  <c r="AW51" i="15" s="1"/>
  <c r="AX51" i="15" s="1"/>
  <c r="AY51" i="15" s="1"/>
  <c r="AZ51" i="15" s="1"/>
  <c r="BA51" i="15" s="1"/>
  <c r="BB51" i="15" s="1"/>
  <c r="BC51" i="15" s="1"/>
  <c r="BD51" i="15" s="1"/>
  <c r="BE51" i="15" s="1"/>
  <c r="BF51" i="15" s="1"/>
  <c r="BG51" i="15" s="1"/>
  <c r="BH51" i="15" s="1"/>
  <c r="BI51" i="15" s="1"/>
  <c r="BJ51" i="15" s="1"/>
  <c r="BK51" i="15" s="1"/>
  <c r="F32" i="17"/>
  <c r="G32" i="17" s="1"/>
  <c r="H32" i="18"/>
  <c r="I32" i="18" s="1"/>
  <c r="AT68" i="15"/>
  <c r="C92" i="15"/>
  <c r="C95" i="15" s="1"/>
  <c r="AV63" i="15"/>
  <c r="AU66" i="15"/>
  <c r="AU67" i="15"/>
  <c r="AU69" i="15"/>
  <c r="AP86" i="15"/>
  <c r="AQ82" i="15"/>
  <c r="AQ83" i="15"/>
  <c r="AQ84" i="15"/>
  <c r="AQ85" i="15"/>
  <c r="AS65" i="15"/>
  <c r="AS72" i="15" s="1"/>
  <c r="AR73" i="15"/>
  <c r="AR71" i="15"/>
  <c r="AR70" i="15"/>
  <c r="F16" i="18"/>
  <c r="F29" i="18" s="1"/>
  <c r="S16" i="18"/>
  <c r="R16" i="18"/>
  <c r="R29" i="18" s="1"/>
  <c r="P16" i="18"/>
  <c r="P29" i="18" s="1"/>
  <c r="L16" i="18"/>
  <c r="N16" i="18"/>
  <c r="J16" i="18"/>
  <c r="H16" i="18"/>
  <c r="L16" i="17"/>
  <c r="H16" i="17"/>
  <c r="F16" i="17"/>
  <c r="F29" i="17" s="1"/>
  <c r="R16" i="17"/>
  <c r="R29" i="17" s="1"/>
  <c r="S16" i="17"/>
  <c r="N16" i="17"/>
  <c r="P16" i="17"/>
  <c r="P29" i="17" s="1"/>
  <c r="J16" i="17"/>
  <c r="D27" i="13"/>
  <c r="F32" i="16"/>
  <c r="G32" i="16" s="1"/>
  <c r="N16" i="16"/>
  <c r="N29" i="16" s="1"/>
  <c r="L16" i="16"/>
  <c r="L29" i="16" s="1"/>
  <c r="J16" i="16"/>
  <c r="F16" i="16"/>
  <c r="F29" i="16" s="1"/>
  <c r="S16" i="16"/>
  <c r="R16" i="16"/>
  <c r="R29" i="16" s="1"/>
  <c r="P16" i="16"/>
  <c r="P29" i="16" s="1"/>
  <c r="H16" i="16"/>
  <c r="AB52" i="15"/>
  <c r="AC52" i="15" s="1"/>
  <c r="AD52" i="15" s="1"/>
  <c r="AE52" i="15" s="1"/>
  <c r="AF52" i="15" s="1"/>
  <c r="AG52" i="15" s="1"/>
  <c r="AH52" i="15" s="1"/>
  <c r="AI52" i="15" s="1"/>
  <c r="AJ52" i="15" s="1"/>
  <c r="AK52" i="15" s="1"/>
  <c r="AL52" i="15" s="1"/>
  <c r="AM52" i="15" s="1"/>
  <c r="AN52" i="15" s="1"/>
  <c r="AO52" i="15" s="1"/>
  <c r="AP52" i="15" s="1"/>
  <c r="AQ52" i="15" s="1"/>
  <c r="AR52" i="15" s="1"/>
  <c r="AS52" i="15" s="1"/>
  <c r="AT52" i="15" s="1"/>
  <c r="AU52" i="15" s="1"/>
  <c r="AV52" i="15" s="1"/>
  <c r="AW52" i="15" s="1"/>
  <c r="AX52" i="15" s="1"/>
  <c r="AY52" i="15" s="1"/>
  <c r="AZ52" i="15" s="1"/>
  <c r="BA52" i="15" s="1"/>
  <c r="BB52" i="15" s="1"/>
  <c r="BC52" i="15" s="1"/>
  <c r="BD52" i="15" s="1"/>
  <c r="BE52" i="15" s="1"/>
  <c r="BF52" i="15" s="1"/>
  <c r="BG52" i="15" s="1"/>
  <c r="BH52" i="15" s="1"/>
  <c r="BI52" i="15" s="1"/>
  <c r="BJ52" i="15" s="1"/>
  <c r="BK52" i="15" s="1"/>
  <c r="AB49" i="15"/>
  <c r="AC49" i="15" s="1"/>
  <c r="AD49" i="15" s="1"/>
  <c r="AE49" i="15" s="1"/>
  <c r="AF49" i="15" s="1"/>
  <c r="AG49" i="15" s="1"/>
  <c r="AH49" i="15" s="1"/>
  <c r="AI49" i="15" s="1"/>
  <c r="AJ49" i="15" s="1"/>
  <c r="AK49" i="15" s="1"/>
  <c r="AL49" i="15" s="1"/>
  <c r="AM49" i="15" s="1"/>
  <c r="AN49" i="15" s="1"/>
  <c r="AO49" i="15" s="1"/>
  <c r="AP49" i="15" s="1"/>
  <c r="AQ49" i="15" s="1"/>
  <c r="AR49" i="15" s="1"/>
  <c r="R50" i="15"/>
  <c r="S50" i="15" s="1"/>
  <c r="T50" i="15" s="1"/>
  <c r="U50" i="15" s="1"/>
  <c r="V50" i="15" s="1"/>
  <c r="W50" i="15" s="1"/>
  <c r="X50" i="15" s="1"/>
  <c r="Y50" i="15" s="1"/>
  <c r="Z50" i="15" s="1"/>
  <c r="AA50" i="15" s="1"/>
  <c r="AB50" i="15" s="1"/>
  <c r="AC50" i="15" s="1"/>
  <c r="AD50" i="15" s="1"/>
  <c r="AE50" i="15" s="1"/>
  <c r="AF50" i="15" s="1"/>
  <c r="AG50" i="15" s="1"/>
  <c r="AH50" i="15" s="1"/>
  <c r="AI50" i="15" s="1"/>
  <c r="AJ50" i="15" s="1"/>
  <c r="AK50" i="15" s="1"/>
  <c r="AL50" i="15" s="1"/>
  <c r="AM50" i="15" s="1"/>
  <c r="AN50" i="15" s="1"/>
  <c r="AO50" i="15" s="1"/>
  <c r="AP50" i="15" s="1"/>
  <c r="AQ50" i="15" s="1"/>
  <c r="AR50" i="15" s="1"/>
  <c r="AS50" i="15" s="1"/>
  <c r="AT50" i="15" s="1"/>
  <c r="AU50" i="15" s="1"/>
  <c r="AV50" i="15" s="1"/>
  <c r="AW50" i="15" s="1"/>
  <c r="AX50" i="15" s="1"/>
  <c r="AY50" i="15" s="1"/>
  <c r="AZ50" i="15" s="1"/>
  <c r="BA50" i="15" s="1"/>
  <c r="BB50" i="15" s="1"/>
  <c r="BC50" i="15" s="1"/>
  <c r="BD50" i="15" s="1"/>
  <c r="BE50" i="15" s="1"/>
  <c r="BF50" i="15" s="1"/>
  <c r="BG50" i="15" s="1"/>
  <c r="BH50" i="15" s="1"/>
  <c r="BI50" i="15" s="1"/>
  <c r="BJ50" i="15" s="1"/>
  <c r="BK50" i="15" s="1"/>
  <c r="BL35" i="15"/>
  <c r="BL34" i="15"/>
  <c r="C45" i="15"/>
  <c r="BL37" i="15"/>
  <c r="BL36" i="15"/>
  <c r="BL33" i="15"/>
  <c r="AO19" i="15"/>
  <c r="AN20" i="15"/>
  <c r="D19" i="10"/>
  <c r="W19" i="10" s="1"/>
  <c r="AP19" i="10" s="1"/>
  <c r="W18" i="10"/>
  <c r="AP18" i="10" s="1"/>
  <c r="S19" i="10"/>
  <c r="AL19" i="10" s="1"/>
  <c r="BE19" i="10" s="1"/>
  <c r="AL18" i="10"/>
  <c r="BE18" i="10" s="1"/>
  <c r="E19" i="10"/>
  <c r="X19" i="10" s="1"/>
  <c r="AQ19" i="10" s="1"/>
  <c r="X18" i="10"/>
  <c r="AQ18" i="10" s="1"/>
  <c r="F9" i="10"/>
  <c r="Y9" i="10" s="1"/>
  <c r="X9" i="10"/>
  <c r="F7" i="10"/>
  <c r="Y7" i="10" s="1"/>
  <c r="AR7" i="10" s="1"/>
  <c r="X7" i="10"/>
  <c r="AQ7" i="10" s="1"/>
  <c r="R6" i="10"/>
  <c r="AK6" i="10" s="1"/>
  <c r="BD6" i="10" s="1"/>
  <c r="AJ6" i="10"/>
  <c r="BC6" i="10" s="1"/>
  <c r="P7" i="10"/>
  <c r="AI7" i="10" s="1"/>
  <c r="BB7" i="10" s="1"/>
  <c r="AH7" i="10"/>
  <c r="BA7" i="10" s="1"/>
  <c r="N7" i="10"/>
  <c r="AG7" i="10" s="1"/>
  <c r="AZ7" i="10" s="1"/>
  <c r="AF7" i="10"/>
  <c r="AY7" i="10" s="1"/>
  <c r="P6" i="10"/>
  <c r="AI6" i="10" s="1"/>
  <c r="BB6" i="10" s="1"/>
  <c r="AH6" i="10"/>
  <c r="BA6" i="10" s="1"/>
  <c r="L7" i="10"/>
  <c r="AE7" i="10" s="1"/>
  <c r="AX7" i="10" s="1"/>
  <c r="AD7" i="10"/>
  <c r="AW7" i="10" s="1"/>
  <c r="J7" i="10"/>
  <c r="AC7" i="10" s="1"/>
  <c r="AV7" i="10" s="1"/>
  <c r="AB7" i="10"/>
  <c r="AU7" i="10" s="1"/>
  <c r="H9" i="10"/>
  <c r="AA9" i="10" s="1"/>
  <c r="Z9" i="10"/>
  <c r="L6" i="10"/>
  <c r="AE6" i="10" s="1"/>
  <c r="AX6" i="10" s="1"/>
  <c r="AD6" i="10"/>
  <c r="AW6" i="10" s="1"/>
  <c r="R9" i="10"/>
  <c r="AK9" i="10" s="1"/>
  <c r="AJ9" i="10"/>
  <c r="P9" i="10"/>
  <c r="AI9" i="10" s="1"/>
  <c r="AH9" i="10"/>
  <c r="F6" i="10"/>
  <c r="Y6" i="10" s="1"/>
  <c r="AR6" i="10" s="1"/>
  <c r="X6" i="10"/>
  <c r="AQ6" i="10" s="1"/>
  <c r="N9" i="10"/>
  <c r="AG9" i="10" s="1"/>
  <c r="AF9" i="10"/>
  <c r="N6" i="10"/>
  <c r="AG6" i="10" s="1"/>
  <c r="AZ6" i="10" s="1"/>
  <c r="AF6" i="10"/>
  <c r="AY6" i="10" s="1"/>
  <c r="J6" i="10"/>
  <c r="AC6" i="10" s="1"/>
  <c r="AV6" i="10" s="1"/>
  <c r="AB6" i="10"/>
  <c r="AU6" i="10" s="1"/>
  <c r="L9" i="10"/>
  <c r="AE9" i="10" s="1"/>
  <c r="AD9" i="10"/>
  <c r="H6" i="10"/>
  <c r="AA6" i="10" s="1"/>
  <c r="AT6" i="10" s="1"/>
  <c r="Z6" i="10"/>
  <c r="AS6" i="10" s="1"/>
  <c r="J9" i="10"/>
  <c r="AC9" i="10" s="1"/>
  <c r="AB9" i="10"/>
  <c r="H16" i="10"/>
  <c r="T16" i="10"/>
  <c r="D238" i="11"/>
  <c r="I238" i="11"/>
  <c r="F238" i="11"/>
  <c r="H238" i="11"/>
  <c r="C242" i="11"/>
  <c r="N242" i="11"/>
  <c r="L242" i="11"/>
  <c r="E238" i="11"/>
  <c r="D243" i="11"/>
  <c r="E243" i="11"/>
  <c r="F243" i="11"/>
  <c r="G238" i="11"/>
  <c r="J16" i="10"/>
  <c r="L16" i="10"/>
  <c r="N16" i="10"/>
  <c r="P16" i="10"/>
  <c r="R16" i="10"/>
  <c r="S16" i="10"/>
  <c r="M242" i="11"/>
  <c r="D229" i="11"/>
  <c r="K242" i="11"/>
  <c r="J242" i="11"/>
  <c r="C243" i="11"/>
  <c r="I242" i="11"/>
  <c r="N243" i="11"/>
  <c r="H242" i="11"/>
  <c r="M243" i="11"/>
  <c r="F242" i="11"/>
  <c r="K243" i="11"/>
  <c r="O238" i="11"/>
  <c r="C238" i="11"/>
  <c r="L238" i="11"/>
  <c r="D242" i="11"/>
  <c r="I243" i="11"/>
  <c r="F16" i="10"/>
  <c r="G242" i="11"/>
  <c r="K238" i="11"/>
  <c r="O242" i="11"/>
  <c r="L243" i="11"/>
  <c r="M238" i="11"/>
  <c r="J243" i="11"/>
  <c r="H243" i="11"/>
  <c r="J238" i="11"/>
  <c r="O29" i="10"/>
  <c r="O33" i="10" s="1"/>
  <c r="O36" i="10" s="1"/>
  <c r="P27" i="10"/>
  <c r="G29" i="10"/>
  <c r="G33" i="10" s="1"/>
  <c r="G36" i="10" s="1"/>
  <c r="H27" i="10"/>
  <c r="I29" i="10"/>
  <c r="I33" i="10" s="1"/>
  <c r="I36" i="10" s="1"/>
  <c r="J27" i="10"/>
  <c r="K79" i="10"/>
  <c r="R12" i="10"/>
  <c r="AK12" i="10" s="1"/>
  <c r="BD12" i="10" s="1"/>
  <c r="S7" i="10"/>
  <c r="R7" i="10"/>
  <c r="AK7" i="10" s="1"/>
  <c r="BD7" i="10" s="1"/>
  <c r="M29" i="10"/>
  <c r="M33" i="10" s="1"/>
  <c r="M36" i="10" s="1"/>
  <c r="N27" i="10"/>
  <c r="K80" i="10"/>
  <c r="R11" i="10"/>
  <c r="AK11" i="10" s="1"/>
  <c r="BD11" i="10" s="1"/>
  <c r="E30" i="10"/>
  <c r="K29" i="10"/>
  <c r="K33" i="10" s="1"/>
  <c r="K36" i="10" s="1"/>
  <c r="L27" i="10"/>
  <c r="K76" i="10"/>
  <c r="R8" i="10"/>
  <c r="AK8" i="10" s="1"/>
  <c r="BD8" i="10" s="1"/>
  <c r="R14" i="10"/>
  <c r="AK14" i="10" s="1"/>
  <c r="BD14" i="10" s="1"/>
  <c r="F27" i="10"/>
  <c r="E29" i="10"/>
  <c r="Q29" i="10"/>
  <c r="Q33" i="10" s="1"/>
  <c r="Q36" i="10" s="1"/>
  <c r="R27" i="10"/>
  <c r="R15" i="10"/>
  <c r="P15" i="10"/>
  <c r="J15" i="10"/>
  <c r="I76" i="10"/>
  <c r="N8" i="10"/>
  <c r="AG8" i="10" s="1"/>
  <c r="AZ8" i="10" s="1"/>
  <c r="H15" i="10"/>
  <c r="J80" i="10"/>
  <c r="P11" i="10"/>
  <c r="AI11" i="10" s="1"/>
  <c r="BB11" i="10" s="1"/>
  <c r="H76" i="10"/>
  <c r="L8" i="10"/>
  <c r="AE8" i="10" s="1"/>
  <c r="AX8" i="10" s="1"/>
  <c r="E76" i="10"/>
  <c r="F8" i="10"/>
  <c r="Y8" i="10" s="1"/>
  <c r="AR8" i="10" s="1"/>
  <c r="G79" i="10"/>
  <c r="J12" i="10"/>
  <c r="AC12" i="10" s="1"/>
  <c r="AV12" i="10" s="1"/>
  <c r="H80" i="10"/>
  <c r="L11" i="10"/>
  <c r="AE11" i="10" s="1"/>
  <c r="AX11" i="10" s="1"/>
  <c r="F76" i="10"/>
  <c r="H8" i="10"/>
  <c r="AA8" i="10" s="1"/>
  <c r="AT8" i="10" s="1"/>
  <c r="G80" i="10"/>
  <c r="J11" i="10"/>
  <c r="AC11" i="10" s="1"/>
  <c r="AV11" i="10" s="1"/>
  <c r="F14" i="10"/>
  <c r="Y14" i="10" s="1"/>
  <c r="AR14" i="10" s="1"/>
  <c r="N14" i="10"/>
  <c r="AG14" i="10" s="1"/>
  <c r="AZ14" i="10" s="1"/>
  <c r="F80" i="10"/>
  <c r="H11" i="10"/>
  <c r="AA11" i="10" s="1"/>
  <c r="AT11" i="10" s="1"/>
  <c r="H79" i="10"/>
  <c r="L12" i="10"/>
  <c r="AE12" i="10" s="1"/>
  <c r="AX12" i="10" s="1"/>
  <c r="N15" i="10"/>
  <c r="E80" i="10"/>
  <c r="F11" i="10"/>
  <c r="Y11" i="10" s="1"/>
  <c r="AR11" i="10" s="1"/>
  <c r="L15" i="10"/>
  <c r="I80" i="10"/>
  <c r="N11" i="10"/>
  <c r="AG11" i="10" s="1"/>
  <c r="AZ11" i="10" s="1"/>
  <c r="G76" i="10"/>
  <c r="J8" i="10"/>
  <c r="AC8" i="10" s="1"/>
  <c r="AV8" i="10" s="1"/>
  <c r="P14" i="10"/>
  <c r="AI14" i="10" s="1"/>
  <c r="BB14" i="10" s="1"/>
  <c r="L14" i="10"/>
  <c r="AE14" i="10" s="1"/>
  <c r="AX14" i="10" s="1"/>
  <c r="J14" i="10"/>
  <c r="AC14" i="10" s="1"/>
  <c r="AV14" i="10" s="1"/>
  <c r="J76" i="10"/>
  <c r="P8" i="10"/>
  <c r="AI8" i="10" s="1"/>
  <c r="BB8" i="10" s="1"/>
  <c r="J78" i="10"/>
  <c r="P10" i="10"/>
  <c r="J79" i="10"/>
  <c r="P12" i="10"/>
  <c r="AI12" i="10" s="1"/>
  <c r="BB12" i="10" s="1"/>
  <c r="D7" i="10"/>
  <c r="H7" i="10"/>
  <c r="AA7" i="10" s="1"/>
  <c r="AT7" i="10" s="1"/>
  <c r="I79" i="10"/>
  <c r="N12" i="10"/>
  <c r="AG12" i="10" s="1"/>
  <c r="AZ12" i="10" s="1"/>
  <c r="E79" i="10"/>
  <c r="F12" i="10"/>
  <c r="Y12" i="10" s="1"/>
  <c r="AR12" i="10" s="1"/>
  <c r="F79" i="10"/>
  <c r="H12" i="10"/>
  <c r="AA12" i="10" s="1"/>
  <c r="AT12" i="10" s="1"/>
  <c r="H14" i="10"/>
  <c r="AA14" i="10" s="1"/>
  <c r="AT14" i="10" s="1"/>
  <c r="F15" i="10"/>
  <c r="G77" i="10"/>
  <c r="F77" i="10"/>
  <c r="H77" i="10"/>
  <c r="I78" i="10"/>
  <c r="G78" i="10"/>
  <c r="F78" i="10"/>
  <c r="H78" i="10"/>
  <c r="E77" i="10"/>
  <c r="E78" i="10"/>
  <c r="K77" i="10"/>
  <c r="K78" i="10"/>
  <c r="J77" i="10"/>
  <c r="I77" i="10"/>
  <c r="C229" i="11"/>
  <c r="N229" i="11"/>
  <c r="M229" i="11"/>
  <c r="L229" i="11"/>
  <c r="K229" i="11"/>
  <c r="J229" i="11"/>
  <c r="I229" i="11"/>
  <c r="H229" i="11"/>
  <c r="G229" i="11"/>
  <c r="F229" i="11"/>
  <c r="E229" i="11"/>
  <c r="G224" i="11"/>
  <c r="C228" i="11"/>
  <c r="O228" i="11"/>
  <c r="N228" i="11"/>
  <c r="H224" i="11"/>
  <c r="M228" i="11"/>
  <c r="L228" i="11"/>
  <c r="K228" i="11"/>
  <c r="J228" i="11"/>
  <c r="I228" i="11"/>
  <c r="H228" i="11"/>
  <c r="D224" i="11"/>
  <c r="G228" i="11"/>
  <c r="F228" i="11"/>
  <c r="F224" i="11"/>
  <c r="E228" i="11"/>
  <c r="I224" i="11"/>
  <c r="E224" i="11"/>
  <c r="C224" i="11"/>
  <c r="O224" i="11"/>
  <c r="N224" i="11"/>
  <c r="M224" i="11"/>
  <c r="L224" i="11"/>
  <c r="K224" i="11"/>
  <c r="AU68" i="15" l="1"/>
  <c r="J32" i="18"/>
  <c r="K32" i="18" s="1"/>
  <c r="H32" i="17"/>
  <c r="I32" i="17" s="1"/>
  <c r="AW63" i="15"/>
  <c r="AV66" i="15"/>
  <c r="AV69" i="15"/>
  <c r="AV67" i="15"/>
  <c r="AR82" i="15"/>
  <c r="AR83" i="15"/>
  <c r="AR84" i="15"/>
  <c r="AR85" i="15"/>
  <c r="AT65" i="15"/>
  <c r="AT72" i="15" s="1"/>
  <c r="AS70" i="15"/>
  <c r="AS71" i="15"/>
  <c r="AS73" i="15"/>
  <c r="AQ86" i="15"/>
  <c r="AY27" i="10"/>
  <c r="AT27" i="10"/>
  <c r="BA27" i="10"/>
  <c r="AV27" i="10"/>
  <c r="H32" i="16"/>
  <c r="I32" i="16" s="1"/>
  <c r="AS49" i="15"/>
  <c r="AP19" i="15"/>
  <c r="AO20" i="15"/>
  <c r="AE10" i="10"/>
  <c r="AX10" i="10" s="1"/>
  <c r="AX9" i="10"/>
  <c r="AF10" i="10"/>
  <c r="AY10" i="10" s="1"/>
  <c r="AY9" i="10"/>
  <c r="AG10" i="10"/>
  <c r="AZ10" i="10" s="1"/>
  <c r="AZ9" i="10"/>
  <c r="AZ27" i="10" s="1"/>
  <c r="AH10" i="10"/>
  <c r="BA10" i="10" s="1"/>
  <c r="BA9" i="10"/>
  <c r="AI10" i="10"/>
  <c r="BB10" i="10" s="1"/>
  <c r="BB9" i="10"/>
  <c r="BB27" i="10" s="1"/>
  <c r="AJ10" i="10"/>
  <c r="BC10" i="10" s="1"/>
  <c r="BC9" i="10"/>
  <c r="BC27" i="10" s="1"/>
  <c r="X10" i="10"/>
  <c r="AQ10" i="10" s="1"/>
  <c r="AQ9" i="10"/>
  <c r="AQ27" i="10" s="1"/>
  <c r="Y10" i="10"/>
  <c r="AR10" i="10" s="1"/>
  <c r="AR9" i="10"/>
  <c r="AK10" i="10"/>
  <c r="BD10" i="10" s="1"/>
  <c r="BD9" i="10"/>
  <c r="BD27" i="10" s="1"/>
  <c r="AB10" i="10"/>
  <c r="AU10" i="10" s="1"/>
  <c r="AU9" i="10"/>
  <c r="AU27" i="10" s="1"/>
  <c r="Z10" i="10"/>
  <c r="AS10" i="10" s="1"/>
  <c r="AS9" i="10"/>
  <c r="AC10" i="10"/>
  <c r="AV10" i="10" s="1"/>
  <c r="AV9" i="10"/>
  <c r="AA10" i="10"/>
  <c r="AT10" i="10" s="1"/>
  <c r="AT9" i="10"/>
  <c r="AD10" i="10"/>
  <c r="AW10" i="10" s="1"/>
  <c r="AW9" i="10"/>
  <c r="AW27" i="10" s="1"/>
  <c r="L77" i="10"/>
  <c r="AL7" i="10"/>
  <c r="BE7" i="10" s="1"/>
  <c r="BE27" i="10" s="1"/>
  <c r="D77" i="10"/>
  <c r="W7" i="10"/>
  <c r="AP7" i="10" s="1"/>
  <c r="AP27" i="10" s="1"/>
  <c r="H29" i="10"/>
  <c r="C245" i="11"/>
  <c r="M239" i="11" s="1"/>
  <c r="N29" i="10"/>
  <c r="R29" i="10"/>
  <c r="J29" i="10"/>
  <c r="L29" i="10"/>
  <c r="P29" i="10"/>
  <c r="F29" i="10"/>
  <c r="E33" i="10"/>
  <c r="E36" i="10" s="1"/>
  <c r="C231" i="11"/>
  <c r="J395" i="6"/>
  <c r="I395" i="6"/>
  <c r="H395" i="6"/>
  <c r="G395" i="6"/>
  <c r="F395" i="6"/>
  <c r="E395" i="6"/>
  <c r="D395" i="6"/>
  <c r="C395" i="6"/>
  <c r="J394" i="6"/>
  <c r="I394" i="6"/>
  <c r="H394" i="6"/>
  <c r="G394" i="6"/>
  <c r="F394" i="6"/>
  <c r="E394" i="6"/>
  <c r="D394" i="6"/>
  <c r="C394" i="6"/>
  <c r="G393" i="6"/>
  <c r="F393" i="6"/>
  <c r="E393" i="6"/>
  <c r="J392" i="6"/>
  <c r="J396" i="6" s="1"/>
  <c r="I392" i="6"/>
  <c r="I396" i="6" s="1"/>
  <c r="H392" i="6"/>
  <c r="H396" i="6" s="1"/>
  <c r="G392" i="6"/>
  <c r="F392" i="6"/>
  <c r="E392" i="6"/>
  <c r="D392" i="6"/>
  <c r="D396" i="6" s="1"/>
  <c r="C392" i="6"/>
  <c r="C396" i="6" s="1"/>
  <c r="J391" i="6"/>
  <c r="J397" i="6" s="1"/>
  <c r="I391" i="6"/>
  <c r="I397" i="6" s="1"/>
  <c r="H391" i="6"/>
  <c r="H397" i="6" s="1"/>
  <c r="D391" i="6"/>
  <c r="D397" i="6" s="1"/>
  <c r="C391" i="6"/>
  <c r="C397" i="6" s="1"/>
  <c r="G390" i="6"/>
  <c r="G391" i="6" s="1"/>
  <c r="F390" i="6"/>
  <c r="F391" i="6" s="1"/>
  <c r="E390" i="6"/>
  <c r="E391" i="6" s="1"/>
  <c r="AF364" i="6"/>
  <c r="AG364" i="6" s="1"/>
  <c r="AH364" i="6" s="1"/>
  <c r="AI364" i="6" s="1"/>
  <c r="AA364" i="6"/>
  <c r="AB364" i="6" s="1"/>
  <c r="AC364" i="6" s="1"/>
  <c r="AD364" i="6" s="1"/>
  <c r="V364" i="6"/>
  <c r="W364" i="6" s="1"/>
  <c r="X364" i="6" s="1"/>
  <c r="Y364" i="6" s="1"/>
  <c r="Q364" i="6"/>
  <c r="R364" i="6" s="1"/>
  <c r="S364" i="6" s="1"/>
  <c r="T364" i="6" s="1"/>
  <c r="L364" i="6"/>
  <c r="M364" i="6" s="1"/>
  <c r="N364" i="6" s="1"/>
  <c r="O364" i="6" s="1"/>
  <c r="G364" i="6"/>
  <c r="H364" i="6" s="1"/>
  <c r="I364" i="6" s="1"/>
  <c r="J364" i="6" s="1"/>
  <c r="AA363" i="6"/>
  <c r="AB363" i="6" s="1"/>
  <c r="AC363" i="6" s="1"/>
  <c r="AD363" i="6" s="1"/>
  <c r="AE363" i="6" s="1"/>
  <c r="AF363" i="6" s="1"/>
  <c r="AG363" i="6" s="1"/>
  <c r="AH363" i="6" s="1"/>
  <c r="AI363" i="6" s="1"/>
  <c r="Q363" i="6"/>
  <c r="R363" i="6" s="1"/>
  <c r="S363" i="6" s="1"/>
  <c r="T363" i="6" s="1"/>
  <c r="U363" i="6" s="1"/>
  <c r="V363" i="6" s="1"/>
  <c r="W363" i="6" s="1"/>
  <c r="X363" i="6" s="1"/>
  <c r="Y363" i="6" s="1"/>
  <c r="D363" i="6"/>
  <c r="E363" i="6" s="1"/>
  <c r="F363" i="6" s="1"/>
  <c r="G363" i="6" s="1"/>
  <c r="H363" i="6" s="1"/>
  <c r="I363" i="6" s="1"/>
  <c r="J363" i="6" s="1"/>
  <c r="K363" i="6" s="1"/>
  <c r="L363" i="6" s="1"/>
  <c r="M363" i="6" s="1"/>
  <c r="N363" i="6" s="1"/>
  <c r="O363" i="6" s="1"/>
  <c r="AA362" i="6"/>
  <c r="AB362" i="6" s="1"/>
  <c r="AC362" i="6" s="1"/>
  <c r="AD362" i="6" s="1"/>
  <c r="AE362" i="6" s="1"/>
  <c r="AF362" i="6" s="1"/>
  <c r="AG362" i="6" s="1"/>
  <c r="AH362" i="6" s="1"/>
  <c r="AI362" i="6" s="1"/>
  <c r="S362" i="6"/>
  <c r="T362" i="6" s="1"/>
  <c r="U362" i="6" s="1"/>
  <c r="V362" i="6" s="1"/>
  <c r="W362" i="6" s="1"/>
  <c r="X362" i="6" s="1"/>
  <c r="Y362" i="6" s="1"/>
  <c r="D361" i="6"/>
  <c r="E361" i="6" s="1"/>
  <c r="D360" i="6"/>
  <c r="E360" i="6" s="1"/>
  <c r="F360" i="6" s="1"/>
  <c r="G360" i="6" s="1"/>
  <c r="H360" i="6" s="1"/>
  <c r="I360" i="6" s="1"/>
  <c r="J360" i="6" s="1"/>
  <c r="K360" i="6" s="1"/>
  <c r="L360" i="6" s="1"/>
  <c r="M360" i="6" s="1"/>
  <c r="N360" i="6" s="1"/>
  <c r="O360" i="6" s="1"/>
  <c r="P360" i="6" s="1"/>
  <c r="Q360" i="6" s="1"/>
  <c r="R360" i="6" s="1"/>
  <c r="S360" i="6" s="1"/>
  <c r="T360" i="6" s="1"/>
  <c r="U360" i="6" s="1"/>
  <c r="V360" i="6" s="1"/>
  <c r="W360" i="6" s="1"/>
  <c r="X360" i="6" s="1"/>
  <c r="Y360" i="6" s="1"/>
  <c r="Z360" i="6" s="1"/>
  <c r="AA360" i="6" s="1"/>
  <c r="AB360" i="6" s="1"/>
  <c r="AC360" i="6" s="1"/>
  <c r="AD360" i="6" s="1"/>
  <c r="AE360" i="6" s="1"/>
  <c r="AF360" i="6" s="1"/>
  <c r="AG360" i="6" s="1"/>
  <c r="AH360" i="6" s="1"/>
  <c r="AI360" i="6" s="1"/>
  <c r="D359" i="6"/>
  <c r="E359" i="6" s="1"/>
  <c r="F359" i="6" s="1"/>
  <c r="G359" i="6" s="1"/>
  <c r="H359" i="6" s="1"/>
  <c r="I359" i="6" s="1"/>
  <c r="J359" i="6" s="1"/>
  <c r="K359" i="6" s="1"/>
  <c r="L359" i="6" s="1"/>
  <c r="M359" i="6" s="1"/>
  <c r="N359" i="6" s="1"/>
  <c r="O359" i="6" s="1"/>
  <c r="H228" i="6"/>
  <c r="O228" i="6" s="1"/>
  <c r="H227" i="6"/>
  <c r="P227" i="6" s="1"/>
  <c r="H226" i="6"/>
  <c r="P226" i="6" s="1"/>
  <c r="H225" i="6"/>
  <c r="O225" i="6" s="1"/>
  <c r="H224" i="6"/>
  <c r="N224" i="6" s="1"/>
  <c r="H222" i="6"/>
  <c r="O222" i="6" s="1"/>
  <c r="H221" i="6"/>
  <c r="L221" i="6" s="1"/>
  <c r="H220" i="6"/>
  <c r="K220" i="6" s="1"/>
  <c r="H219" i="6"/>
  <c r="M219" i="6" s="1"/>
  <c r="H218" i="6"/>
  <c r="I218" i="6" s="1"/>
  <c r="H216" i="6"/>
  <c r="P216" i="6" s="1"/>
  <c r="H215" i="6"/>
  <c r="I215" i="6" s="1"/>
  <c r="H214" i="6"/>
  <c r="P214" i="6" s="1"/>
  <c r="H213" i="6"/>
  <c r="P213" i="6" s="1"/>
  <c r="H212" i="6"/>
  <c r="N212" i="6" s="1"/>
  <c r="H210" i="6"/>
  <c r="P210" i="6" s="1"/>
  <c r="H209" i="6"/>
  <c r="L209" i="6" s="1"/>
  <c r="H208" i="6"/>
  <c r="O208" i="6" s="1"/>
  <c r="H207" i="6"/>
  <c r="J207" i="6" s="1"/>
  <c r="H206" i="6"/>
  <c r="P206" i="6" s="1"/>
  <c r="H205" i="6"/>
  <c r="K205" i="6" s="1"/>
  <c r="H204" i="6"/>
  <c r="P204" i="6" s="1"/>
  <c r="H202" i="6"/>
  <c r="P202" i="6" s="1"/>
  <c r="H201" i="6"/>
  <c r="O201" i="6" s="1"/>
  <c r="H200" i="6"/>
  <c r="N200" i="6" s="1"/>
  <c r="H199" i="6"/>
  <c r="O199" i="6" s="1"/>
  <c r="H198" i="6"/>
  <c r="L198" i="6" s="1"/>
  <c r="H197" i="6"/>
  <c r="K197" i="6" s="1"/>
  <c r="H196" i="6"/>
  <c r="M196" i="6" s="1"/>
  <c r="H194" i="6"/>
  <c r="I194" i="6" s="1"/>
  <c r="H193" i="6"/>
  <c r="O193" i="6" s="1"/>
  <c r="H192" i="6"/>
  <c r="I192" i="6" s="1"/>
  <c r="H191" i="6"/>
  <c r="P191" i="6" s="1"/>
  <c r="H190" i="6"/>
  <c r="P190" i="6" s="1"/>
  <c r="H189" i="6"/>
  <c r="N189" i="6" s="1"/>
  <c r="H188" i="6"/>
  <c r="P188" i="6" s="1"/>
  <c r="H186" i="6"/>
  <c r="L186" i="6" s="1"/>
  <c r="H185" i="6"/>
  <c r="O185" i="6" s="1"/>
  <c r="H184" i="6"/>
  <c r="J184" i="6" s="1"/>
  <c r="H183" i="6"/>
  <c r="P183" i="6" s="1"/>
  <c r="H182" i="6"/>
  <c r="N182" i="6" s="1"/>
  <c r="H181" i="6"/>
  <c r="P181" i="6" s="1"/>
  <c r="H180" i="6"/>
  <c r="P180" i="6" s="1"/>
  <c r="J20" i="6"/>
  <c r="I20" i="6"/>
  <c r="H20" i="6"/>
  <c r="G20" i="6"/>
  <c r="F20" i="6"/>
  <c r="E20" i="6"/>
  <c r="D20" i="6"/>
  <c r="C20" i="6"/>
  <c r="J19" i="6"/>
  <c r="I19" i="6"/>
  <c r="H19" i="6"/>
  <c r="G19" i="6"/>
  <c r="F19" i="6"/>
  <c r="E19" i="6"/>
  <c r="D19" i="6"/>
  <c r="C19" i="6"/>
  <c r="AR27" i="10" l="1"/>
  <c r="M81" i="16"/>
  <c r="M84" i="16" s="1"/>
  <c r="L81" i="16"/>
  <c r="L84" i="16" s="1"/>
  <c r="G81" i="16"/>
  <c r="G84" i="16" s="1"/>
  <c r="D81" i="16"/>
  <c r="D84" i="16" s="1"/>
  <c r="E81" i="16"/>
  <c r="E84" i="16" s="1"/>
  <c r="F81" i="16"/>
  <c r="F84" i="16" s="1"/>
  <c r="H81" i="16"/>
  <c r="H84" i="16" s="1"/>
  <c r="K81" i="16"/>
  <c r="K84" i="16" s="1"/>
  <c r="I81" i="16"/>
  <c r="I84" i="16" s="1"/>
  <c r="J81" i="16"/>
  <c r="J84" i="16" s="1"/>
  <c r="AS27" i="10"/>
  <c r="AX27" i="10"/>
  <c r="AX29" i="10" s="1"/>
  <c r="L81" i="17"/>
  <c r="L84" i="17" s="1"/>
  <c r="D81" i="17"/>
  <c r="D84" i="17" s="1"/>
  <c r="E81" i="17"/>
  <c r="E84" i="17" s="1"/>
  <c r="M81" i="17"/>
  <c r="M84" i="17" s="1"/>
  <c r="K81" i="17"/>
  <c r="K84" i="17" s="1"/>
  <c r="J81" i="17"/>
  <c r="J84" i="17" s="1"/>
  <c r="H81" i="17"/>
  <c r="H84" i="17" s="1"/>
  <c r="F81" i="17"/>
  <c r="F84" i="17" s="1"/>
  <c r="G81" i="17"/>
  <c r="G84" i="17" s="1"/>
  <c r="I81" i="17"/>
  <c r="I84" i="17" s="1"/>
  <c r="L82" i="16"/>
  <c r="K82" i="16"/>
  <c r="J82" i="16"/>
  <c r="H82" i="16"/>
  <c r="G82" i="16"/>
  <c r="E82" i="16"/>
  <c r="F82" i="16"/>
  <c r="D82" i="16"/>
  <c r="L83" i="16"/>
  <c r="I82" i="16"/>
  <c r="K83" i="16"/>
  <c r="J83" i="16"/>
  <c r="F83" i="16"/>
  <c r="D83" i="16"/>
  <c r="I83" i="16"/>
  <c r="E83" i="16"/>
  <c r="H83" i="16"/>
  <c r="M83" i="16"/>
  <c r="M82" i="16"/>
  <c r="G83" i="16"/>
  <c r="Q31" i="18"/>
  <c r="F31" i="16"/>
  <c r="F34" i="16" s="1"/>
  <c r="F37" i="16" s="1"/>
  <c r="F39" i="16" s="1"/>
  <c r="N31" i="16"/>
  <c r="I31" i="16"/>
  <c r="G31" i="16"/>
  <c r="G34" i="16" s="1"/>
  <c r="G37" i="16" s="1"/>
  <c r="P31" i="18"/>
  <c r="E31" i="16"/>
  <c r="E34" i="16" s="1"/>
  <c r="E37" i="16" s="1"/>
  <c r="E39" i="16" s="1"/>
  <c r="J31" i="18"/>
  <c r="D31" i="16"/>
  <c r="D34" i="16" s="1"/>
  <c r="D37" i="16" s="1"/>
  <c r="L31" i="16"/>
  <c r="O31" i="18"/>
  <c r="T31" i="16"/>
  <c r="J31" i="17"/>
  <c r="N31" i="18"/>
  <c r="I31" i="18"/>
  <c r="I34" i="18" s="1"/>
  <c r="I37" i="18" s="1"/>
  <c r="R31" i="16"/>
  <c r="P31" i="16"/>
  <c r="M31" i="18"/>
  <c r="R31" i="18"/>
  <c r="Q31" i="16"/>
  <c r="K31" i="16"/>
  <c r="H31" i="16"/>
  <c r="L31" i="18"/>
  <c r="P31" i="17"/>
  <c r="M31" i="16"/>
  <c r="O31" i="16"/>
  <c r="L31" i="17"/>
  <c r="T31" i="17"/>
  <c r="K31" i="18"/>
  <c r="K34" i="18" s="1"/>
  <c r="K37" i="18" s="1"/>
  <c r="M31" i="17"/>
  <c r="J31" i="16"/>
  <c r="I31" i="17"/>
  <c r="I34" i="17" s="1"/>
  <c r="I37" i="17" s="1"/>
  <c r="H31" i="18"/>
  <c r="K31" i="17"/>
  <c r="G31" i="18"/>
  <c r="G34" i="18" s="1"/>
  <c r="G37" i="18" s="1"/>
  <c r="R31" i="17"/>
  <c r="S31" i="16"/>
  <c r="F31" i="18"/>
  <c r="F34" i="18" s="1"/>
  <c r="F37" i="18" s="1"/>
  <c r="F39" i="18" s="1"/>
  <c r="Q31" i="17"/>
  <c r="O31" i="17"/>
  <c r="E31" i="18"/>
  <c r="E34" i="18" s="1"/>
  <c r="E37" i="18" s="1"/>
  <c r="E39" i="18" s="1"/>
  <c r="N31" i="17"/>
  <c r="T31" i="18"/>
  <c r="D31" i="18"/>
  <c r="D34" i="18" s="1"/>
  <c r="D37" i="18" s="1"/>
  <c r="S31" i="18"/>
  <c r="F31" i="17"/>
  <c r="F34" i="17" s="1"/>
  <c r="F37" i="17" s="1"/>
  <c r="F39" i="17" s="1"/>
  <c r="E31" i="17"/>
  <c r="E34" i="17" s="1"/>
  <c r="E37" i="17" s="1"/>
  <c r="E39" i="17" s="1"/>
  <c r="D31" i="17"/>
  <c r="D34" i="17" s="1"/>
  <c r="D37" i="17" s="1"/>
  <c r="S31" i="17"/>
  <c r="H31" i="17"/>
  <c r="G31" i="17"/>
  <c r="G34" i="17" s="1"/>
  <c r="G37" i="17" s="1"/>
  <c r="D83" i="18"/>
  <c r="M82" i="18"/>
  <c r="M85" i="18" s="1"/>
  <c r="I82" i="18"/>
  <c r="I85" i="18" s="1"/>
  <c r="L82" i="18"/>
  <c r="L85" i="18" s="1"/>
  <c r="J82" i="18"/>
  <c r="K82" i="18"/>
  <c r="H82" i="18"/>
  <c r="E82" i="18"/>
  <c r="G82" i="18"/>
  <c r="F82" i="18"/>
  <c r="D82" i="18"/>
  <c r="L83" i="18"/>
  <c r="I83" i="18"/>
  <c r="M83" i="18"/>
  <c r="K83" i="18"/>
  <c r="J83" i="18"/>
  <c r="E83" i="18"/>
  <c r="E85" i="18" s="1"/>
  <c r="F83" i="18"/>
  <c r="G83" i="18"/>
  <c r="G85" i="18" s="1"/>
  <c r="H83" i="18"/>
  <c r="H85" i="18" s="1"/>
  <c r="P31" i="10"/>
  <c r="H31" i="10"/>
  <c r="D31" i="10"/>
  <c r="L31" i="10"/>
  <c r="E31" i="10"/>
  <c r="S31" i="10"/>
  <c r="F31" i="10"/>
  <c r="J31" i="10"/>
  <c r="Q31" i="10"/>
  <c r="I31" i="10"/>
  <c r="G31" i="10"/>
  <c r="R31" i="10"/>
  <c r="N31" i="10"/>
  <c r="K31" i="10"/>
  <c r="T31" i="10"/>
  <c r="O31" i="10"/>
  <c r="M31" i="10"/>
  <c r="L83" i="17"/>
  <c r="D83" i="17"/>
  <c r="L82" i="17"/>
  <c r="L85" i="17" s="1"/>
  <c r="K82" i="17"/>
  <c r="K85" i="17" s="1"/>
  <c r="J82" i="17"/>
  <c r="F82" i="17"/>
  <c r="F85" i="17" s="1"/>
  <c r="E82" i="17"/>
  <c r="E85" i="17" s="1"/>
  <c r="D82" i="17"/>
  <c r="D85" i="17" s="1"/>
  <c r="M83" i="17"/>
  <c r="J83" i="17"/>
  <c r="E83" i="17"/>
  <c r="K83" i="17"/>
  <c r="G82" i="17"/>
  <c r="M82" i="17"/>
  <c r="H82" i="17"/>
  <c r="I82" i="17"/>
  <c r="H83" i="17"/>
  <c r="G83" i="17"/>
  <c r="F83" i="17"/>
  <c r="I83" i="17"/>
  <c r="L81" i="18"/>
  <c r="L84" i="18" s="1"/>
  <c r="I81" i="18"/>
  <c r="I84" i="18" s="1"/>
  <c r="M81" i="18"/>
  <c r="M84" i="18" s="1"/>
  <c r="D81" i="18"/>
  <c r="D84" i="18" s="1"/>
  <c r="G81" i="18"/>
  <c r="G84" i="18" s="1"/>
  <c r="G86" i="18" s="1"/>
  <c r="G87" i="18" s="1"/>
  <c r="I27" i="18" s="1"/>
  <c r="E81" i="18"/>
  <c r="E84" i="18" s="1"/>
  <c r="E86" i="18" s="1"/>
  <c r="K81" i="18"/>
  <c r="K84" i="18" s="1"/>
  <c r="J81" i="18"/>
  <c r="J84" i="18" s="1"/>
  <c r="H81" i="18"/>
  <c r="H84" i="18" s="1"/>
  <c r="H86" i="18" s="1"/>
  <c r="H87" i="18" s="1"/>
  <c r="K27" i="18" s="1"/>
  <c r="F81" i="18"/>
  <c r="F84" i="18" s="1"/>
  <c r="J32" i="17"/>
  <c r="L32" i="18"/>
  <c r="AV68" i="15"/>
  <c r="AX63" i="15"/>
  <c r="AW69" i="15"/>
  <c r="AW67" i="15"/>
  <c r="AW66" i="15"/>
  <c r="AS82" i="15"/>
  <c r="AS83" i="15"/>
  <c r="AS84" i="15"/>
  <c r="AS85" i="15"/>
  <c r="AU65" i="15"/>
  <c r="AU72" i="15" s="1"/>
  <c r="AT71" i="15"/>
  <c r="AT73" i="15"/>
  <c r="AT70" i="15"/>
  <c r="AR86" i="15"/>
  <c r="J32" i="16"/>
  <c r="I34" i="16"/>
  <c r="I37" i="16" s="1"/>
  <c r="AT49" i="15"/>
  <c r="AQ19" i="15"/>
  <c r="AP20" i="15"/>
  <c r="AZ28" i="10"/>
  <c r="AY29" i="10"/>
  <c r="AU28" i="10"/>
  <c r="AT28" i="10"/>
  <c r="BC29" i="10"/>
  <c r="BC28" i="10"/>
  <c r="BB29" i="10"/>
  <c r="BB28" i="10"/>
  <c r="AW29" i="10"/>
  <c r="AW28" i="10"/>
  <c r="BA29" i="10"/>
  <c r="BA28" i="10"/>
  <c r="AT29" i="10"/>
  <c r="AV29" i="10"/>
  <c r="AV28" i="10"/>
  <c r="AS29" i="10"/>
  <c r="AS28" i="10"/>
  <c r="AQ29" i="10"/>
  <c r="AQ28" i="10"/>
  <c r="BD29" i="10"/>
  <c r="BD28" i="10"/>
  <c r="AR29" i="10"/>
  <c r="AR28" i="10"/>
  <c r="AP29" i="10"/>
  <c r="AP28" i="10"/>
  <c r="BF28" i="10"/>
  <c r="BE29" i="10"/>
  <c r="BE28" i="10"/>
  <c r="BF29" i="10"/>
  <c r="P208" i="6"/>
  <c r="I202" i="6"/>
  <c r="M189" i="6"/>
  <c r="K224" i="6"/>
  <c r="M224" i="6"/>
  <c r="K82" i="10"/>
  <c r="M82" i="10"/>
  <c r="I82" i="10"/>
  <c r="F82" i="10"/>
  <c r="H82" i="10"/>
  <c r="D82" i="10"/>
  <c r="L83" i="10"/>
  <c r="M83" i="10"/>
  <c r="J82" i="10"/>
  <c r="G82" i="10"/>
  <c r="D83" i="10"/>
  <c r="L82" i="10"/>
  <c r="E82" i="10"/>
  <c r="J83" i="10"/>
  <c r="F83" i="10"/>
  <c r="E83" i="10"/>
  <c r="H83" i="10"/>
  <c r="I83" i="10"/>
  <c r="G83" i="10"/>
  <c r="K83" i="10"/>
  <c r="I201" i="6"/>
  <c r="N219" i="6"/>
  <c r="F62" i="11"/>
  <c r="F64" i="11"/>
  <c r="F63" i="11"/>
  <c r="P189" i="6"/>
  <c r="O224" i="6"/>
  <c r="F65" i="11"/>
  <c r="L81" i="10"/>
  <c r="L84" i="10" s="1"/>
  <c r="M81" i="10"/>
  <c r="M84" i="10" s="1"/>
  <c r="D81" i="10"/>
  <c r="D84" i="10" s="1"/>
  <c r="J81" i="10"/>
  <c r="J84" i="10" s="1"/>
  <c r="G81" i="10"/>
  <c r="G84" i="10" s="1"/>
  <c r="E81" i="10"/>
  <c r="E84" i="10" s="1"/>
  <c r="F81" i="10"/>
  <c r="F84" i="10" s="1"/>
  <c r="I81" i="10"/>
  <c r="I84" i="10" s="1"/>
  <c r="K81" i="10"/>
  <c r="K84" i="10" s="1"/>
  <c r="H81" i="10"/>
  <c r="H84" i="10" s="1"/>
  <c r="J208" i="6"/>
  <c r="P224" i="6"/>
  <c r="M208" i="6"/>
  <c r="M198" i="6"/>
  <c r="K198" i="6"/>
  <c r="E239" i="11"/>
  <c r="I239" i="11"/>
  <c r="G239" i="11"/>
  <c r="L239" i="11"/>
  <c r="J239" i="11"/>
  <c r="D239" i="11"/>
  <c r="N239" i="11"/>
  <c r="F239" i="11"/>
  <c r="H239" i="11"/>
  <c r="C239" i="11"/>
  <c r="K239" i="11"/>
  <c r="D225" i="11"/>
  <c r="L225" i="11"/>
  <c r="E225" i="11"/>
  <c r="F225" i="11"/>
  <c r="G225" i="11"/>
  <c r="H225" i="11"/>
  <c r="I225" i="11"/>
  <c r="J225" i="11"/>
  <c r="K225" i="11"/>
  <c r="M225" i="11"/>
  <c r="N225" i="11"/>
  <c r="C225" i="11"/>
  <c r="O189" i="6"/>
  <c r="E397" i="6"/>
  <c r="J194" i="6"/>
  <c r="L194" i="6"/>
  <c r="O212" i="6"/>
  <c r="P212" i="6"/>
  <c r="F397" i="6"/>
  <c r="N183" i="6"/>
  <c r="I228" i="6"/>
  <c r="G397" i="6"/>
  <c r="P228" i="6"/>
  <c r="I184" i="6"/>
  <c r="K194" i="6"/>
  <c r="K207" i="6"/>
  <c r="J218" i="6"/>
  <c r="K184" i="6"/>
  <c r="M207" i="6"/>
  <c r="K218" i="6"/>
  <c r="L184" i="6"/>
  <c r="M184" i="6"/>
  <c r="N184" i="6"/>
  <c r="L208" i="6"/>
  <c r="J221" i="6"/>
  <c r="N198" i="6"/>
  <c r="O221" i="6"/>
  <c r="O198" i="6"/>
  <c r="I189" i="6"/>
  <c r="P198" i="6"/>
  <c r="J210" i="6"/>
  <c r="J189" i="6"/>
  <c r="L210" i="6"/>
  <c r="J212" i="6"/>
  <c r="L205" i="6"/>
  <c r="I197" i="6"/>
  <c r="M200" i="6"/>
  <c r="O205" i="6"/>
  <c r="O209" i="6"/>
  <c r="I216" i="6"/>
  <c r="P220" i="6"/>
  <c r="K214" i="6"/>
  <c r="O191" i="6"/>
  <c r="L182" i="6"/>
  <c r="M186" i="6"/>
  <c r="I193" i="6"/>
  <c r="J197" i="6"/>
  <c r="O200" i="6"/>
  <c r="P205" i="6"/>
  <c r="J216" i="6"/>
  <c r="I226" i="6"/>
  <c r="K196" i="6"/>
  <c r="M220" i="6"/>
  <c r="I182" i="6"/>
  <c r="N220" i="6"/>
  <c r="J225" i="6"/>
  <c r="N196" i="6"/>
  <c r="M209" i="6"/>
  <c r="N205" i="6"/>
  <c r="K216" i="6"/>
  <c r="O182" i="6"/>
  <c r="O186" i="6"/>
  <c r="K193" i="6"/>
  <c r="M197" i="6"/>
  <c r="J206" i="6"/>
  <c r="K210" i="6"/>
  <c r="L216" i="6"/>
  <c r="N221" i="6"/>
  <c r="K191" i="6"/>
  <c r="J182" i="6"/>
  <c r="K200" i="6"/>
  <c r="K186" i="6"/>
  <c r="N197" i="6"/>
  <c r="M216" i="6"/>
  <c r="L185" i="6"/>
  <c r="O214" i="6"/>
  <c r="M205" i="6"/>
  <c r="P200" i="6"/>
  <c r="P182" i="6"/>
  <c r="N206" i="6"/>
  <c r="J188" i="6"/>
  <c r="M193" i="6"/>
  <c r="O197" i="6"/>
  <c r="J201" i="6"/>
  <c r="N210" i="6"/>
  <c r="N216" i="6"/>
  <c r="J228" i="6"/>
  <c r="I205" i="6"/>
  <c r="N199" i="6"/>
  <c r="L220" i="6"/>
  <c r="M185" i="6"/>
  <c r="M225" i="6"/>
  <c r="P185" i="6"/>
  <c r="N225" i="6"/>
  <c r="O220" i="6"/>
  <c r="J183" i="6"/>
  <c r="L188" i="6"/>
  <c r="N193" i="6"/>
  <c r="P197" i="6"/>
  <c r="K201" i="6"/>
  <c r="I207" i="6"/>
  <c r="O210" i="6"/>
  <c r="O216" i="6"/>
  <c r="N222" i="6"/>
  <c r="K228" i="6"/>
  <c r="I225" i="6"/>
  <c r="L196" i="6"/>
  <c r="O196" i="6"/>
  <c r="N209" i="6"/>
  <c r="M182" i="6"/>
  <c r="N188" i="6"/>
  <c r="P193" i="6"/>
  <c r="M201" i="6"/>
  <c r="P222" i="6"/>
  <c r="L228" i="6"/>
  <c r="I196" i="6"/>
  <c r="I220" i="6"/>
  <c r="J205" i="6"/>
  <c r="L197" i="6"/>
  <c r="L193" i="6"/>
  <c r="O188" i="6"/>
  <c r="I198" i="6"/>
  <c r="N201" i="6"/>
  <c r="L207" i="6"/>
  <c r="I212" i="6"/>
  <c r="M228" i="6"/>
  <c r="J185" i="6"/>
  <c r="K209" i="6"/>
  <c r="K182" i="6"/>
  <c r="J193" i="6"/>
  <c r="J198" i="6"/>
  <c r="P201" i="6"/>
  <c r="N228" i="6"/>
  <c r="I180" i="6"/>
  <c r="K225" i="6"/>
  <c r="P199" i="6"/>
  <c r="P196" i="6"/>
  <c r="J215" i="6"/>
  <c r="P225" i="6"/>
  <c r="N186" i="6"/>
  <c r="N207" i="6"/>
  <c r="M212" i="6"/>
  <c r="J220" i="6"/>
  <c r="I221" i="6"/>
  <c r="K221" i="6"/>
  <c r="L218" i="6"/>
  <c r="M221" i="6"/>
  <c r="I219" i="6"/>
  <c r="K219" i="6"/>
  <c r="P221" i="6"/>
  <c r="L219" i="6"/>
  <c r="O219" i="6"/>
  <c r="P219" i="6"/>
  <c r="K192" i="6"/>
  <c r="K180" i="6"/>
  <c r="O184" i="6"/>
  <c r="J190" i="6"/>
  <c r="L192" i="6"/>
  <c r="N194" i="6"/>
  <c r="I200" i="6"/>
  <c r="K202" i="6"/>
  <c r="O207" i="6"/>
  <c r="J213" i="6"/>
  <c r="L215" i="6"/>
  <c r="N218" i="6"/>
  <c r="I224" i="6"/>
  <c r="K226" i="6"/>
  <c r="J180" i="6"/>
  <c r="P186" i="6"/>
  <c r="I190" i="6"/>
  <c r="M194" i="6"/>
  <c r="J202" i="6"/>
  <c r="P209" i="6"/>
  <c r="I213" i="6"/>
  <c r="K215" i="6"/>
  <c r="M218" i="6"/>
  <c r="J226" i="6"/>
  <c r="L180" i="6"/>
  <c r="P184" i="6"/>
  <c r="I188" i="6"/>
  <c r="K190" i="6"/>
  <c r="M192" i="6"/>
  <c r="O194" i="6"/>
  <c r="J200" i="6"/>
  <c r="L202" i="6"/>
  <c r="P207" i="6"/>
  <c r="I210" i="6"/>
  <c r="K213" i="6"/>
  <c r="M215" i="6"/>
  <c r="O218" i="6"/>
  <c r="J224" i="6"/>
  <c r="L226" i="6"/>
  <c r="N192" i="6"/>
  <c r="M202" i="6"/>
  <c r="L213" i="6"/>
  <c r="M180" i="6"/>
  <c r="L190" i="6"/>
  <c r="P194" i="6"/>
  <c r="N215" i="6"/>
  <c r="P218" i="6"/>
  <c r="M226" i="6"/>
  <c r="N180" i="6"/>
  <c r="I185" i="6"/>
  <c r="K188" i="6"/>
  <c r="M190" i="6"/>
  <c r="O192" i="6"/>
  <c r="L200" i="6"/>
  <c r="N202" i="6"/>
  <c r="I208" i="6"/>
  <c r="M213" i="6"/>
  <c r="O215" i="6"/>
  <c r="L224" i="6"/>
  <c r="N226" i="6"/>
  <c r="O180" i="6"/>
  <c r="O202" i="6"/>
  <c r="N213" i="6"/>
  <c r="N190" i="6"/>
  <c r="P192" i="6"/>
  <c r="P215" i="6"/>
  <c r="O226" i="6"/>
  <c r="I183" i="6"/>
  <c r="K185" i="6"/>
  <c r="M188" i="6"/>
  <c r="O190" i="6"/>
  <c r="J196" i="6"/>
  <c r="I206" i="6"/>
  <c r="K208" i="6"/>
  <c r="M210" i="6"/>
  <c r="O213" i="6"/>
  <c r="J219" i="6"/>
  <c r="J192" i="6"/>
  <c r="I181" i="6"/>
  <c r="I204" i="6"/>
  <c r="K206" i="6"/>
  <c r="J181" i="6"/>
  <c r="L183" i="6"/>
  <c r="N185" i="6"/>
  <c r="I191" i="6"/>
  <c r="J204" i="6"/>
  <c r="L206" i="6"/>
  <c r="N208" i="6"/>
  <c r="I214" i="6"/>
  <c r="J227" i="6"/>
  <c r="K183" i="6"/>
  <c r="I227" i="6"/>
  <c r="K181" i="6"/>
  <c r="M183" i="6"/>
  <c r="J191" i="6"/>
  <c r="K204" i="6"/>
  <c r="M206" i="6"/>
  <c r="J214" i="6"/>
  <c r="K227" i="6"/>
  <c r="L204" i="6"/>
  <c r="L227" i="6"/>
  <c r="I199" i="6"/>
  <c r="O206" i="6"/>
  <c r="L214" i="6"/>
  <c r="I222" i="6"/>
  <c r="M227" i="6"/>
  <c r="M181" i="6"/>
  <c r="O183" i="6"/>
  <c r="L191" i="6"/>
  <c r="N181" i="6"/>
  <c r="I186" i="6"/>
  <c r="K189" i="6"/>
  <c r="M191" i="6"/>
  <c r="J199" i="6"/>
  <c r="L201" i="6"/>
  <c r="N204" i="6"/>
  <c r="I209" i="6"/>
  <c r="K212" i="6"/>
  <c r="M214" i="6"/>
  <c r="J222" i="6"/>
  <c r="L225" i="6"/>
  <c r="N227" i="6"/>
  <c r="L181" i="6"/>
  <c r="M204" i="6"/>
  <c r="O181" i="6"/>
  <c r="J186" i="6"/>
  <c r="L189" i="6"/>
  <c r="N191" i="6"/>
  <c r="K199" i="6"/>
  <c r="O204" i="6"/>
  <c r="J209" i="6"/>
  <c r="L212" i="6"/>
  <c r="N214" i="6"/>
  <c r="K222" i="6"/>
  <c r="O227" i="6"/>
  <c r="L199" i="6"/>
  <c r="L222" i="6"/>
  <c r="M199" i="6"/>
  <c r="M222" i="6"/>
  <c r="E396" i="6"/>
  <c r="F396" i="6"/>
  <c r="G396" i="6"/>
  <c r="M85" i="16" l="1"/>
  <c r="M86" i="16" s="1"/>
  <c r="AX28" i="10"/>
  <c r="M86" i="18"/>
  <c r="K29" i="18"/>
  <c r="K33" i="18" s="1"/>
  <c r="K36" i="18" s="1"/>
  <c r="K39" i="18" s="1"/>
  <c r="L27" i="18"/>
  <c r="L29" i="18" s="1"/>
  <c r="L34" i="18" s="1"/>
  <c r="L37" i="18" s="1"/>
  <c r="L39" i="18" s="1"/>
  <c r="K86" i="17"/>
  <c r="I29" i="18"/>
  <c r="I33" i="18" s="1"/>
  <c r="I36" i="18" s="1"/>
  <c r="I39" i="18" s="1"/>
  <c r="J27" i="18"/>
  <c r="J29" i="18" s="1"/>
  <c r="J34" i="18" s="1"/>
  <c r="J37" i="18" s="1"/>
  <c r="J39" i="18" s="1"/>
  <c r="E86" i="17"/>
  <c r="D86" i="17"/>
  <c r="D87" i="17" s="1"/>
  <c r="D27" i="17" s="1"/>
  <c r="D29" i="17" s="1"/>
  <c r="T27" i="18"/>
  <c r="T29" i="18" s="1"/>
  <c r="T33" i="18" s="1"/>
  <c r="T36" i="18" s="1"/>
  <c r="M87" i="18"/>
  <c r="L86" i="17"/>
  <c r="I86" i="18"/>
  <c r="I87" i="18" s="1"/>
  <c r="M27" i="18" s="1"/>
  <c r="I85" i="16"/>
  <c r="L86" i="18"/>
  <c r="D85" i="16"/>
  <c r="D86" i="16" s="1"/>
  <c r="D87" i="16" s="1"/>
  <c r="D27" i="16" s="1"/>
  <c r="D29" i="16" s="1"/>
  <c r="J85" i="18"/>
  <c r="J86" i="18" s="1"/>
  <c r="F85" i="16"/>
  <c r="F86" i="16" s="1"/>
  <c r="F87" i="16" s="1"/>
  <c r="G27" i="16" s="1"/>
  <c r="I86" i="16"/>
  <c r="K85" i="18"/>
  <c r="K86" i="18" s="1"/>
  <c r="E85" i="16"/>
  <c r="I85" i="17"/>
  <c r="I86" i="17" s="1"/>
  <c r="I87" i="17" s="1"/>
  <c r="M27" i="17" s="1"/>
  <c r="H85" i="16"/>
  <c r="H86" i="16" s="1"/>
  <c r="H85" i="17"/>
  <c r="H86" i="17" s="1"/>
  <c r="H87" i="17" s="1"/>
  <c r="K27" i="17" s="1"/>
  <c r="J85" i="16"/>
  <c r="J86" i="16" s="1"/>
  <c r="E86" i="16"/>
  <c r="M85" i="17"/>
  <c r="M86" i="17" s="1"/>
  <c r="D85" i="18"/>
  <c r="D86" i="18" s="1"/>
  <c r="D87" i="18" s="1"/>
  <c r="D27" i="18" s="1"/>
  <c r="D29" i="18" s="1"/>
  <c r="K85" i="16"/>
  <c r="K86" i="16" s="1"/>
  <c r="G85" i="17"/>
  <c r="F85" i="18"/>
  <c r="L85" i="16"/>
  <c r="G85" i="16"/>
  <c r="G86" i="16" s="1"/>
  <c r="G87" i="16" s="1"/>
  <c r="I27" i="16" s="1"/>
  <c r="J27" i="16" s="1"/>
  <c r="J29" i="16" s="1"/>
  <c r="J34" i="16" s="1"/>
  <c r="J37" i="16" s="1"/>
  <c r="J39" i="16" s="1"/>
  <c r="L86" i="16"/>
  <c r="G86" i="17"/>
  <c r="G87" i="17" s="1"/>
  <c r="I27" i="17" s="1"/>
  <c r="F86" i="18"/>
  <c r="F87" i="18" s="1"/>
  <c r="G27" i="18" s="1"/>
  <c r="J85" i="17"/>
  <c r="J86" i="17" s="1"/>
  <c r="F86" i="17"/>
  <c r="F87" i="17" s="1"/>
  <c r="G27" i="17" s="1"/>
  <c r="AW68" i="15"/>
  <c r="M32" i="18"/>
  <c r="K32" i="17"/>
  <c r="AY63" i="15"/>
  <c r="AX69" i="15"/>
  <c r="AX66" i="15"/>
  <c r="AX67" i="15"/>
  <c r="AT82" i="15"/>
  <c r="AT83" i="15"/>
  <c r="AT84" i="15"/>
  <c r="AT85" i="15"/>
  <c r="AV65" i="15"/>
  <c r="AV72" i="15" s="1"/>
  <c r="AU70" i="15"/>
  <c r="AU71" i="15"/>
  <c r="AU73" i="15"/>
  <c r="AS86" i="15"/>
  <c r="K32" i="16"/>
  <c r="AU49" i="15"/>
  <c r="AR19" i="15"/>
  <c r="AQ20" i="15"/>
  <c r="AZ29" i="10"/>
  <c r="AU29" i="10"/>
  <c r="AY28" i="10"/>
  <c r="G85" i="10"/>
  <c r="G86" i="10" s="1"/>
  <c r="H85" i="10"/>
  <c r="H86" i="10" s="1"/>
  <c r="J85" i="10"/>
  <c r="J86" i="10" s="1"/>
  <c r="E85" i="10"/>
  <c r="E86" i="10" s="1"/>
  <c r="L85" i="10"/>
  <c r="I85" i="10"/>
  <c r="I86" i="10" s="1"/>
  <c r="M85" i="10"/>
  <c r="M79" i="11"/>
  <c r="M84" i="11" s="1"/>
  <c r="M90" i="11" s="1"/>
  <c r="M98" i="11" s="1"/>
  <c r="M102" i="11" s="1"/>
  <c r="D79" i="11"/>
  <c r="D84" i="11" s="1"/>
  <c r="D90" i="11" s="1"/>
  <c r="D98" i="11" s="1"/>
  <c r="D102" i="11" s="1"/>
  <c r="C79" i="11"/>
  <c r="I79" i="11"/>
  <c r="I84" i="11" s="1"/>
  <c r="I90" i="11" s="1"/>
  <c r="I98" i="11" s="1"/>
  <c r="I102" i="11" s="1"/>
  <c r="N79" i="11"/>
  <c r="N84" i="11" s="1"/>
  <c r="N90" i="11" s="1"/>
  <c r="N98" i="11" s="1"/>
  <c r="N102" i="11" s="1"/>
  <c r="K79" i="11"/>
  <c r="K84" i="11" s="1"/>
  <c r="K90" i="11" s="1"/>
  <c r="K98" i="11" s="1"/>
  <c r="K102" i="11" s="1"/>
  <c r="G79" i="11"/>
  <c r="G84" i="11" s="1"/>
  <c r="G90" i="11" s="1"/>
  <c r="G98" i="11" s="1"/>
  <c r="G102" i="11" s="1"/>
  <c r="J79" i="11"/>
  <c r="J84" i="11" s="1"/>
  <c r="J90" i="11" s="1"/>
  <c r="J98" i="11" s="1"/>
  <c r="J102" i="11" s="1"/>
  <c r="L79" i="11"/>
  <c r="L84" i="11" s="1"/>
  <c r="L90" i="11" s="1"/>
  <c r="L98" i="11" s="1"/>
  <c r="L102" i="11" s="1"/>
  <c r="H79" i="11"/>
  <c r="H84" i="11" s="1"/>
  <c r="H90" i="11" s="1"/>
  <c r="H98" i="11" s="1"/>
  <c r="H102" i="11" s="1"/>
  <c r="F79" i="11"/>
  <c r="F84" i="11" s="1"/>
  <c r="F90" i="11" s="1"/>
  <c r="F98" i="11" s="1"/>
  <c r="F102" i="11" s="1"/>
  <c r="E79" i="11"/>
  <c r="E84" i="11" s="1"/>
  <c r="E90" i="11" s="1"/>
  <c r="E98" i="11" s="1"/>
  <c r="E102" i="11" s="1"/>
  <c r="K85" i="10"/>
  <c r="K86" i="10" s="1"/>
  <c r="F85" i="10"/>
  <c r="F86" i="10" s="1"/>
  <c r="E32" i="10"/>
  <c r="F32" i="10" s="1"/>
  <c r="D34" i="10"/>
  <c r="D37" i="10" s="1"/>
  <c r="N77" i="11"/>
  <c r="N82" i="11" s="1"/>
  <c r="N88" i="11" s="1"/>
  <c r="N96" i="11" s="1"/>
  <c r="N100" i="11" s="1"/>
  <c r="D77" i="11"/>
  <c r="D82" i="11" s="1"/>
  <c r="D88" i="11" s="1"/>
  <c r="D96" i="11" s="1"/>
  <c r="D100" i="11" s="1"/>
  <c r="C77" i="11"/>
  <c r="H77" i="11"/>
  <c r="H82" i="11" s="1"/>
  <c r="H88" i="11" s="1"/>
  <c r="H96" i="11" s="1"/>
  <c r="H100" i="11" s="1"/>
  <c r="I77" i="11"/>
  <c r="I82" i="11" s="1"/>
  <c r="I88" i="11" s="1"/>
  <c r="I96" i="11" s="1"/>
  <c r="I100" i="11" s="1"/>
  <c r="M77" i="11"/>
  <c r="M82" i="11" s="1"/>
  <c r="M88" i="11" s="1"/>
  <c r="M96" i="11" s="1"/>
  <c r="M100" i="11" s="1"/>
  <c r="K77" i="11"/>
  <c r="K82" i="11" s="1"/>
  <c r="K88" i="11" s="1"/>
  <c r="K96" i="11" s="1"/>
  <c r="K100" i="11" s="1"/>
  <c r="G77" i="11"/>
  <c r="G82" i="11" s="1"/>
  <c r="G88" i="11" s="1"/>
  <c r="G96" i="11" s="1"/>
  <c r="G100" i="11" s="1"/>
  <c r="J77" i="11"/>
  <c r="J82" i="11" s="1"/>
  <c r="J88" i="11" s="1"/>
  <c r="J96" i="11" s="1"/>
  <c r="J100" i="11" s="1"/>
  <c r="F77" i="11"/>
  <c r="F82" i="11" s="1"/>
  <c r="F88" i="11" s="1"/>
  <c r="F96" i="11" s="1"/>
  <c r="F100" i="11" s="1"/>
  <c r="E77" i="11"/>
  <c r="E82" i="11" s="1"/>
  <c r="E88" i="11" s="1"/>
  <c r="E96" i="11" s="1"/>
  <c r="E100" i="11" s="1"/>
  <c r="L77" i="11"/>
  <c r="L82" i="11" s="1"/>
  <c r="L88" i="11" s="1"/>
  <c r="L96" i="11" s="1"/>
  <c r="L100" i="11" s="1"/>
  <c r="H78" i="11"/>
  <c r="H83" i="11" s="1"/>
  <c r="H89" i="11" s="1"/>
  <c r="H97" i="11" s="1"/>
  <c r="H101" i="11" s="1"/>
  <c r="J78" i="11"/>
  <c r="J83" i="11" s="1"/>
  <c r="J89" i="11" s="1"/>
  <c r="J97" i="11" s="1"/>
  <c r="J101" i="11" s="1"/>
  <c r="D78" i="11"/>
  <c r="D83" i="11" s="1"/>
  <c r="D89" i="11" s="1"/>
  <c r="D97" i="11" s="1"/>
  <c r="D101" i="11" s="1"/>
  <c r="C78" i="11"/>
  <c r="G78" i="11"/>
  <c r="G83" i="11" s="1"/>
  <c r="G89" i="11" s="1"/>
  <c r="G97" i="11" s="1"/>
  <c r="G101" i="11" s="1"/>
  <c r="E78" i="11"/>
  <c r="E83" i="11" s="1"/>
  <c r="E89" i="11" s="1"/>
  <c r="E97" i="11" s="1"/>
  <c r="E101" i="11" s="1"/>
  <c r="F78" i="11"/>
  <c r="F83" i="11" s="1"/>
  <c r="F89" i="11" s="1"/>
  <c r="F97" i="11" s="1"/>
  <c r="F101" i="11" s="1"/>
  <c r="L78" i="11"/>
  <c r="L83" i="11" s="1"/>
  <c r="L89" i="11" s="1"/>
  <c r="L97" i="11" s="1"/>
  <c r="L101" i="11" s="1"/>
  <c r="K78" i="11"/>
  <c r="K83" i="11" s="1"/>
  <c r="K89" i="11" s="1"/>
  <c r="K97" i="11" s="1"/>
  <c r="K101" i="11" s="1"/>
  <c r="M78" i="11"/>
  <c r="M83" i="11" s="1"/>
  <c r="M89" i="11" s="1"/>
  <c r="M97" i="11" s="1"/>
  <c r="M101" i="11" s="1"/>
  <c r="I78" i="11"/>
  <c r="I83" i="11" s="1"/>
  <c r="I89" i="11" s="1"/>
  <c r="I97" i="11" s="1"/>
  <c r="I101" i="11" s="1"/>
  <c r="N78" i="11"/>
  <c r="N83" i="11" s="1"/>
  <c r="N89" i="11" s="1"/>
  <c r="N97" i="11" s="1"/>
  <c r="N101" i="11" s="1"/>
  <c r="C76" i="11"/>
  <c r="D76" i="11"/>
  <c r="D81" i="11" s="1"/>
  <c r="D87" i="11" s="1"/>
  <c r="D95" i="11" s="1"/>
  <c r="D99" i="11" s="1"/>
  <c r="N76" i="11"/>
  <c r="N81" i="11" s="1"/>
  <c r="N87" i="11" s="1"/>
  <c r="N95" i="11" s="1"/>
  <c r="N99" i="11" s="1"/>
  <c r="K76" i="11"/>
  <c r="K81" i="11" s="1"/>
  <c r="K87" i="11" s="1"/>
  <c r="K95" i="11" s="1"/>
  <c r="K99" i="11" s="1"/>
  <c r="F76" i="11"/>
  <c r="F81" i="11" s="1"/>
  <c r="F87" i="11" s="1"/>
  <c r="F95" i="11" s="1"/>
  <c r="F99" i="11" s="1"/>
  <c r="G76" i="11"/>
  <c r="G81" i="11" s="1"/>
  <c r="G87" i="11" s="1"/>
  <c r="G95" i="11" s="1"/>
  <c r="G99" i="11" s="1"/>
  <c r="J76" i="11"/>
  <c r="J81" i="11" s="1"/>
  <c r="J87" i="11" s="1"/>
  <c r="J95" i="11" s="1"/>
  <c r="J99" i="11" s="1"/>
  <c r="M76" i="11"/>
  <c r="M81" i="11" s="1"/>
  <c r="M87" i="11" s="1"/>
  <c r="M95" i="11" s="1"/>
  <c r="M99" i="11" s="1"/>
  <c r="L76" i="11"/>
  <c r="L81" i="11" s="1"/>
  <c r="L87" i="11" s="1"/>
  <c r="L95" i="11" s="1"/>
  <c r="L99" i="11" s="1"/>
  <c r="E76" i="11"/>
  <c r="E81" i="11" s="1"/>
  <c r="E87" i="11" s="1"/>
  <c r="E95" i="11" s="1"/>
  <c r="E99" i="11" s="1"/>
  <c r="I76" i="11"/>
  <c r="I81" i="11" s="1"/>
  <c r="I87" i="11" s="1"/>
  <c r="I95" i="11" s="1"/>
  <c r="I99" i="11" s="1"/>
  <c r="H76" i="11"/>
  <c r="H81" i="11" s="1"/>
  <c r="H87" i="11" s="1"/>
  <c r="H95" i="11" s="1"/>
  <c r="H99" i="11" s="1"/>
  <c r="D85" i="10"/>
  <c r="D86" i="10" s="1"/>
  <c r="S108" i="18" l="1"/>
  <c r="S114" i="18" s="1"/>
  <c r="S116" i="18" s="1"/>
  <c r="S107" i="18"/>
  <c r="L27" i="17"/>
  <c r="L29" i="17" s="1"/>
  <c r="K29" i="17"/>
  <c r="K33" i="17" s="1"/>
  <c r="K36" i="17" s="1"/>
  <c r="N27" i="17"/>
  <c r="N29" i="17" s="1"/>
  <c r="M29" i="17"/>
  <c r="M33" i="17" s="1"/>
  <c r="M36" i="17" s="1"/>
  <c r="H27" i="18"/>
  <c r="H29" i="18" s="1"/>
  <c r="H34" i="18" s="1"/>
  <c r="H37" i="18" s="1"/>
  <c r="H39" i="18" s="1"/>
  <c r="G29" i="18"/>
  <c r="G33" i="18" s="1"/>
  <c r="G36" i="18" s="1"/>
  <c r="G39" i="18" s="1"/>
  <c r="J27" i="17"/>
  <c r="J29" i="17" s="1"/>
  <c r="J34" i="17" s="1"/>
  <c r="J37" i="17" s="1"/>
  <c r="J39" i="17" s="1"/>
  <c r="I29" i="17"/>
  <c r="I33" i="17" s="1"/>
  <c r="I36" i="17" s="1"/>
  <c r="I39" i="17" s="1"/>
  <c r="L87" i="16"/>
  <c r="S27" i="16" s="1"/>
  <c r="S29" i="16" s="1"/>
  <c r="S106" i="16"/>
  <c r="S108" i="16"/>
  <c r="S105" i="16"/>
  <c r="S107" i="16"/>
  <c r="S104" i="16"/>
  <c r="M87" i="17"/>
  <c r="T27" i="17"/>
  <c r="T29" i="17" s="1"/>
  <c r="T33" i="17" s="1"/>
  <c r="T36" i="17" s="1"/>
  <c r="I29" i="16"/>
  <c r="I33" i="16" s="1"/>
  <c r="I36" i="16" s="1"/>
  <c r="I39" i="16" s="1"/>
  <c r="H27" i="16"/>
  <c r="H29" i="16" s="1"/>
  <c r="H34" i="16" s="1"/>
  <c r="H37" i="16" s="1"/>
  <c r="H39" i="16" s="1"/>
  <c r="G29" i="16"/>
  <c r="G33" i="16" s="1"/>
  <c r="G36" i="16" s="1"/>
  <c r="G39" i="16" s="1"/>
  <c r="H27" i="17"/>
  <c r="H29" i="17" s="1"/>
  <c r="H34" i="17" s="1"/>
  <c r="H37" i="17" s="1"/>
  <c r="H39" i="17" s="1"/>
  <c r="G29" i="17"/>
  <c r="G33" i="17" s="1"/>
  <c r="G36" i="17" s="1"/>
  <c r="G39" i="17" s="1"/>
  <c r="L87" i="18"/>
  <c r="S27" i="18" s="1"/>
  <c r="S29" i="18" s="1"/>
  <c r="S106" i="18"/>
  <c r="S104" i="18"/>
  <c r="S105" i="18"/>
  <c r="T27" i="16"/>
  <c r="T29" i="16" s="1"/>
  <c r="T33" i="16" s="1"/>
  <c r="T36" i="16" s="1"/>
  <c r="M87" i="16"/>
  <c r="N27" i="18"/>
  <c r="N29" i="18" s="1"/>
  <c r="M29" i="18"/>
  <c r="M33" i="18" s="1"/>
  <c r="M36" i="18" s="1"/>
  <c r="L87" i="17"/>
  <c r="S27" i="17" s="1"/>
  <c r="S29" i="17" s="1"/>
  <c r="S105" i="17"/>
  <c r="S104" i="17"/>
  <c r="S107" i="17"/>
  <c r="S108" i="17"/>
  <c r="S106" i="17"/>
  <c r="S114" i="17" s="1"/>
  <c r="S116" i="17" s="1"/>
  <c r="L32" i="17"/>
  <c r="K34" i="17"/>
  <c r="K37" i="17" s="1"/>
  <c r="N32" i="18"/>
  <c r="M34" i="18"/>
  <c r="M37" i="18" s="1"/>
  <c r="AX68" i="15"/>
  <c r="AZ63" i="15"/>
  <c r="AY67" i="15"/>
  <c r="AY66" i="15"/>
  <c r="AY69" i="15"/>
  <c r="AW65" i="15"/>
  <c r="AW72" i="15" s="1"/>
  <c r="AV70" i="15"/>
  <c r="AV71" i="15"/>
  <c r="AV73" i="15"/>
  <c r="AU82" i="15"/>
  <c r="AU83" i="15"/>
  <c r="AU84" i="15"/>
  <c r="AU85" i="15"/>
  <c r="AT86" i="15"/>
  <c r="D87" i="10"/>
  <c r="D27" i="10" s="1"/>
  <c r="D29" i="10" s="1"/>
  <c r="L32" i="16"/>
  <c r="K34" i="16"/>
  <c r="K37" i="16" s="1"/>
  <c r="K39" i="16" s="1"/>
  <c r="AV49" i="15"/>
  <c r="AS19" i="15"/>
  <c r="AR20" i="15"/>
  <c r="M86" i="10"/>
  <c r="L86" i="10"/>
  <c r="L87" i="10" s="1"/>
  <c r="S27" i="10" s="1"/>
  <c r="G32" i="10"/>
  <c r="F34" i="10"/>
  <c r="F37" i="10" s="1"/>
  <c r="F39" i="10" s="1"/>
  <c r="E34" i="10"/>
  <c r="E37" i="10" s="1"/>
  <c r="E39" i="10" s="1"/>
  <c r="O76" i="11"/>
  <c r="C81" i="11"/>
  <c r="C84" i="11"/>
  <c r="O79" i="11"/>
  <c r="O77" i="11"/>
  <c r="C82" i="11"/>
  <c r="C83" i="11"/>
  <c r="O78" i="11"/>
  <c r="K39" i="17" l="1"/>
  <c r="M39" i="18"/>
  <c r="M87" i="10"/>
  <c r="T27" i="10" s="1"/>
  <c r="T29" i="10" s="1"/>
  <c r="T33" i="10" s="1"/>
  <c r="T36" i="10" s="1"/>
  <c r="AY68" i="15"/>
  <c r="O32" i="18"/>
  <c r="N34" i="18"/>
  <c r="N37" i="18" s="1"/>
  <c r="N39" i="18" s="1"/>
  <c r="M32" i="17"/>
  <c r="L34" i="17"/>
  <c r="L37" i="17" s="1"/>
  <c r="L39" i="17" s="1"/>
  <c r="BA63" i="15"/>
  <c r="AZ69" i="15"/>
  <c r="AZ66" i="15"/>
  <c r="AZ67" i="15"/>
  <c r="AV82" i="15"/>
  <c r="AV83" i="15"/>
  <c r="AV84" i="15"/>
  <c r="AV85" i="15"/>
  <c r="AU86" i="15"/>
  <c r="AX65" i="15"/>
  <c r="AX72" i="15" s="1"/>
  <c r="AW73" i="15"/>
  <c r="AW70" i="15"/>
  <c r="AW71" i="15"/>
  <c r="M32" i="16"/>
  <c r="L34" i="16"/>
  <c r="L37" i="16" s="1"/>
  <c r="L39" i="16" s="1"/>
  <c r="AW49" i="15"/>
  <c r="AT19" i="15"/>
  <c r="AS20" i="15"/>
  <c r="S107" i="10"/>
  <c r="S108" i="10"/>
  <c r="S104" i="10"/>
  <c r="S105" i="10"/>
  <c r="S106" i="10"/>
  <c r="S114" i="10" s="1"/>
  <c r="S116" i="10" s="1"/>
  <c r="S29" i="10"/>
  <c r="O83" i="11"/>
  <c r="C89" i="11"/>
  <c r="O82" i="11"/>
  <c r="C88" i="11"/>
  <c r="O84" i="11"/>
  <c r="C90" i="11"/>
  <c r="C87" i="11"/>
  <c r="O81" i="11"/>
  <c r="H32" i="10"/>
  <c r="G34" i="10"/>
  <c r="G37" i="10" s="1"/>
  <c r="G39" i="10" s="1"/>
  <c r="P32" i="18" l="1"/>
  <c r="O34" i="18"/>
  <c r="O37" i="18" s="1"/>
  <c r="O39" i="18" s="1"/>
  <c r="N32" i="17"/>
  <c r="M34" i="17"/>
  <c r="M37" i="17" s="1"/>
  <c r="M39" i="17" s="1"/>
  <c r="AZ68" i="15"/>
  <c r="BB63" i="15"/>
  <c r="BA69" i="15"/>
  <c r="BA66" i="15"/>
  <c r="BA67" i="15"/>
  <c r="AW82" i="15"/>
  <c r="AW83" i="15"/>
  <c r="AW84" i="15"/>
  <c r="AW85" i="15"/>
  <c r="AY65" i="15"/>
  <c r="AY72" i="15" s="1"/>
  <c r="AX73" i="15"/>
  <c r="AX70" i="15"/>
  <c r="AX71" i="15"/>
  <c r="AV86" i="15"/>
  <c r="N32" i="16"/>
  <c r="M34" i="16"/>
  <c r="M37" i="16" s="1"/>
  <c r="M39" i="16" s="1"/>
  <c r="AX49" i="15"/>
  <c r="AU19" i="15"/>
  <c r="AT20" i="15"/>
  <c r="I32" i="10"/>
  <c r="H34" i="10"/>
  <c r="H37" i="10" s="1"/>
  <c r="H39" i="10" s="1"/>
  <c r="O87" i="11"/>
  <c r="C95" i="11"/>
  <c r="O90" i="11"/>
  <c r="C98" i="11"/>
  <c r="O88" i="11"/>
  <c r="C96" i="11"/>
  <c r="O89" i="11"/>
  <c r="C97" i="11"/>
  <c r="O32" i="17" l="1"/>
  <c r="N34" i="17"/>
  <c r="N37" i="17" s="1"/>
  <c r="N39" i="17" s="1"/>
  <c r="BA68" i="15"/>
  <c r="Q32" i="18"/>
  <c r="P34" i="18"/>
  <c r="P37" i="18" s="1"/>
  <c r="P39" i="18" s="1"/>
  <c r="BC63" i="15"/>
  <c r="BB69" i="15"/>
  <c r="BB66" i="15"/>
  <c r="BB67" i="15"/>
  <c r="AX82" i="15"/>
  <c r="AX83" i="15"/>
  <c r="AX84" i="15"/>
  <c r="AX85" i="15"/>
  <c r="AZ65" i="15"/>
  <c r="AZ72" i="15" s="1"/>
  <c r="AY71" i="15"/>
  <c r="AY70" i="15"/>
  <c r="AY73" i="15"/>
  <c r="AW86" i="15"/>
  <c r="O32" i="16"/>
  <c r="N34" i="16"/>
  <c r="N37" i="16" s="1"/>
  <c r="N39" i="16" s="1"/>
  <c r="AY49" i="15"/>
  <c r="AV19" i="15"/>
  <c r="AU20" i="15"/>
  <c r="C100" i="11"/>
  <c r="O100" i="11" s="1"/>
  <c r="C104" i="11" s="1"/>
  <c r="D28" i="16" s="1"/>
  <c r="D30" i="16" s="1"/>
  <c r="D33" i="16" s="1"/>
  <c r="D36" i="16" s="1"/>
  <c r="D39" i="16" s="1"/>
  <c r="O96" i="11"/>
  <c r="C102" i="11"/>
  <c r="O102" i="11" s="1"/>
  <c r="C106" i="11" s="1"/>
  <c r="D28" i="18" s="1"/>
  <c r="D30" i="18" s="1"/>
  <c r="D33" i="18" s="1"/>
  <c r="D36" i="18" s="1"/>
  <c r="D39" i="18" s="1"/>
  <c r="O98" i="11"/>
  <c r="O95" i="11"/>
  <c r="C99" i="11"/>
  <c r="O99" i="11" s="1"/>
  <c r="C103" i="11" s="1"/>
  <c r="D28" i="10" s="1"/>
  <c r="D30" i="10" s="1"/>
  <c r="D33" i="10" s="1"/>
  <c r="D36" i="10" s="1"/>
  <c r="D39" i="10" s="1"/>
  <c r="O97" i="11"/>
  <c r="C101" i="11"/>
  <c r="O101" i="11" s="1"/>
  <c r="C105" i="11" s="1"/>
  <c r="D28" i="17" s="1"/>
  <c r="D30" i="17" s="1"/>
  <c r="D33" i="17" s="1"/>
  <c r="D36" i="17" s="1"/>
  <c r="D39" i="17" s="1"/>
  <c r="J32" i="10"/>
  <c r="I34" i="10"/>
  <c r="I37" i="10" s="1"/>
  <c r="I39" i="10" s="1"/>
  <c r="BB68" i="15" l="1"/>
  <c r="R32" i="18"/>
  <c r="Q34" i="18"/>
  <c r="Q37" i="18" s="1"/>
  <c r="Q39" i="18" s="1"/>
  <c r="P32" i="17"/>
  <c r="O34" i="17"/>
  <c r="O37" i="17" s="1"/>
  <c r="O39" i="17" s="1"/>
  <c r="BD63" i="15"/>
  <c r="BC67" i="15"/>
  <c r="BC66" i="15"/>
  <c r="BC69" i="15"/>
  <c r="BA65" i="15"/>
  <c r="BA72" i="15" s="1"/>
  <c r="AZ73" i="15"/>
  <c r="AZ71" i="15"/>
  <c r="AZ70" i="15"/>
  <c r="AY84" i="15"/>
  <c r="AY82" i="15"/>
  <c r="AY85" i="15"/>
  <c r="AY83" i="15"/>
  <c r="AX86" i="15"/>
  <c r="P32" i="16"/>
  <c r="O34" i="16"/>
  <c r="O37" i="16" s="1"/>
  <c r="O39" i="16" s="1"/>
  <c r="AZ49" i="15"/>
  <c r="AW19" i="15"/>
  <c r="AV20" i="15"/>
  <c r="D159" i="11"/>
  <c r="C58" i="18" s="1"/>
  <c r="D58" i="18" s="1"/>
  <c r="K32" i="10"/>
  <c r="J34" i="10"/>
  <c r="J37" i="10" s="1"/>
  <c r="J39" i="10" s="1"/>
  <c r="E58" i="18" l="1"/>
  <c r="F58" i="18"/>
  <c r="K58" i="18"/>
  <c r="I58" i="18"/>
  <c r="J58" i="18"/>
  <c r="L58" i="18"/>
  <c r="AE58" i="18" s="1"/>
  <c r="AX58" i="18" s="1"/>
  <c r="H58" i="18"/>
  <c r="G58" i="18"/>
  <c r="Z58" i="18" s="1"/>
  <c r="AS58" i="18" s="1"/>
  <c r="M58" i="18"/>
  <c r="AF58" i="18" s="1"/>
  <c r="AY58" i="18" s="1"/>
  <c r="N58" i="18"/>
  <c r="AG58" i="18" s="1"/>
  <c r="AZ58" i="18" s="1"/>
  <c r="O58" i="18"/>
  <c r="AH58" i="18" s="1"/>
  <c r="BA58" i="18" s="1"/>
  <c r="P58" i="18"/>
  <c r="AI58" i="18" s="1"/>
  <c r="BB58" i="18" s="1"/>
  <c r="Q58" i="18"/>
  <c r="AJ58" i="18" s="1"/>
  <c r="BC58" i="18" s="1"/>
  <c r="Q32" i="17"/>
  <c r="P34" i="17"/>
  <c r="P37" i="17" s="1"/>
  <c r="P39" i="17" s="1"/>
  <c r="S32" i="18"/>
  <c r="R34" i="18"/>
  <c r="R37" i="18" s="1"/>
  <c r="R39" i="18" s="1"/>
  <c r="BC68" i="15"/>
  <c r="AY86" i="15"/>
  <c r="BE63" i="15"/>
  <c r="BD69" i="15"/>
  <c r="BD66" i="15"/>
  <c r="BD67" i="15"/>
  <c r="AZ82" i="15"/>
  <c r="AZ83" i="15"/>
  <c r="AZ84" i="15"/>
  <c r="AZ85" i="15"/>
  <c r="BB65" i="15"/>
  <c r="BB72" i="15" s="1"/>
  <c r="BA73" i="15"/>
  <c r="BA70" i="15"/>
  <c r="BA71" i="15"/>
  <c r="Y58" i="18"/>
  <c r="AR58" i="18" s="1"/>
  <c r="X58" i="18"/>
  <c r="AQ58" i="18" s="1"/>
  <c r="AB58" i="18"/>
  <c r="AU58" i="18" s="1"/>
  <c r="W58" i="18"/>
  <c r="AP58" i="18" s="1"/>
  <c r="AC58" i="18"/>
  <c r="AV58" i="18" s="1"/>
  <c r="AA58" i="18"/>
  <c r="AT58" i="18" s="1"/>
  <c r="AD58" i="18"/>
  <c r="AW58" i="18" s="1"/>
  <c r="C58" i="16"/>
  <c r="G58" i="16" s="1"/>
  <c r="Z58" i="16" s="1"/>
  <c r="AS58" i="16" s="1"/>
  <c r="C58" i="17"/>
  <c r="Q32" i="16"/>
  <c r="P34" i="16"/>
  <c r="P37" i="16" s="1"/>
  <c r="P39" i="16" s="1"/>
  <c r="BA49" i="15"/>
  <c r="AX19" i="15"/>
  <c r="AW20" i="15"/>
  <c r="D161" i="11"/>
  <c r="D162" i="11"/>
  <c r="D165" i="11"/>
  <c r="D163" i="11"/>
  <c r="D164" i="11"/>
  <c r="D160" i="11"/>
  <c r="C58" i="10"/>
  <c r="J58" i="10" s="1"/>
  <c r="AC58" i="10" s="1"/>
  <c r="AV58" i="10" s="1"/>
  <c r="K34" i="10"/>
  <c r="K37" i="10" s="1"/>
  <c r="K39" i="10" s="1"/>
  <c r="L32" i="10"/>
  <c r="F58" i="17" l="1"/>
  <c r="E58" i="17"/>
  <c r="H58" i="17"/>
  <c r="G58" i="17"/>
  <c r="J58" i="17"/>
  <c r="I58" i="17"/>
  <c r="AB58" i="17" s="1"/>
  <c r="AU58" i="17" s="1"/>
  <c r="K58" i="17"/>
  <c r="L58" i="17"/>
  <c r="M58" i="17"/>
  <c r="N58" i="17"/>
  <c r="AG58" i="17" s="1"/>
  <c r="AZ58" i="17" s="1"/>
  <c r="D58" i="17"/>
  <c r="W58" i="17" s="1"/>
  <c r="AP58" i="17" s="1"/>
  <c r="O58" i="17"/>
  <c r="AH58" i="17" s="1"/>
  <c r="BA58" i="17" s="1"/>
  <c r="R58" i="18"/>
  <c r="AK58" i="18" s="1"/>
  <c r="BD58" i="18" s="1"/>
  <c r="BD77" i="18" s="1"/>
  <c r="P58" i="17"/>
  <c r="AI58" i="17" s="1"/>
  <c r="BB58" i="17" s="1"/>
  <c r="BD68" i="15"/>
  <c r="T32" i="18"/>
  <c r="T34" i="18" s="1"/>
  <c r="T37" i="18" s="1"/>
  <c r="T39" i="18" s="1"/>
  <c r="S34" i="18"/>
  <c r="S37" i="18" s="1"/>
  <c r="S39" i="18" s="1"/>
  <c r="R32" i="17"/>
  <c r="Q34" i="17"/>
  <c r="Q37" i="17" s="1"/>
  <c r="Q39" i="17" s="1"/>
  <c r="BF63" i="15"/>
  <c r="BE66" i="15"/>
  <c r="BE67" i="15"/>
  <c r="BE69" i="15"/>
  <c r="BA82" i="15"/>
  <c r="BA83" i="15"/>
  <c r="BA84" i="15"/>
  <c r="BA85" i="15"/>
  <c r="BC65" i="15"/>
  <c r="BC72" i="15" s="1"/>
  <c r="BB70" i="15"/>
  <c r="BB71" i="15"/>
  <c r="BB73" i="15"/>
  <c r="AZ86" i="15"/>
  <c r="C64" i="17"/>
  <c r="P64" i="17" s="1"/>
  <c r="C64" i="18"/>
  <c r="R64" i="18" s="1"/>
  <c r="C60" i="17"/>
  <c r="P60" i="17" s="1"/>
  <c r="C60" i="18"/>
  <c r="R60" i="18" s="1"/>
  <c r="AX77" i="18"/>
  <c r="AW77" i="18"/>
  <c r="AT77" i="18"/>
  <c r="AS77" i="18"/>
  <c r="L58" i="16"/>
  <c r="AE58" i="16" s="1"/>
  <c r="AX58" i="16" s="1"/>
  <c r="AZ77" i="18"/>
  <c r="J58" i="16"/>
  <c r="AC58" i="16" s="1"/>
  <c r="AV58" i="16" s="1"/>
  <c r="AV77" i="18"/>
  <c r="H58" i="16"/>
  <c r="AA58" i="16" s="1"/>
  <c r="AT58" i="16" s="1"/>
  <c r="AP77" i="18"/>
  <c r="F58" i="16"/>
  <c r="Y58" i="16" s="1"/>
  <c r="AR58" i="16" s="1"/>
  <c r="N58" i="16"/>
  <c r="AG58" i="16" s="1"/>
  <c r="AZ58" i="16" s="1"/>
  <c r="O58" i="16"/>
  <c r="AH58" i="16" s="1"/>
  <c r="BA58" i="16" s="1"/>
  <c r="AU77" i="18"/>
  <c r="P58" i="16"/>
  <c r="AI58" i="16" s="1"/>
  <c r="BB58" i="16" s="1"/>
  <c r="M58" i="16"/>
  <c r="AF58" i="16" s="1"/>
  <c r="AY58" i="16" s="1"/>
  <c r="AY77" i="18"/>
  <c r="K58" i="16"/>
  <c r="AD58" i="16" s="1"/>
  <c r="AW58" i="16" s="1"/>
  <c r="BC77" i="18"/>
  <c r="D58" i="16"/>
  <c r="W58" i="16" s="1"/>
  <c r="AP58" i="16" s="1"/>
  <c r="AQ77" i="18"/>
  <c r="I58" i="16"/>
  <c r="AB58" i="16" s="1"/>
  <c r="AU58" i="16" s="1"/>
  <c r="BA77" i="18"/>
  <c r="C59" i="17"/>
  <c r="P59" i="17" s="1"/>
  <c r="C59" i="18"/>
  <c r="R59" i="18" s="1"/>
  <c r="E58" i="16"/>
  <c r="X58" i="16" s="1"/>
  <c r="AQ58" i="16" s="1"/>
  <c r="C61" i="17"/>
  <c r="P61" i="17" s="1"/>
  <c r="C61" i="18"/>
  <c r="R61" i="18" s="1"/>
  <c r="C63" i="17"/>
  <c r="P63" i="17" s="1"/>
  <c r="C63" i="18"/>
  <c r="BB77" i="18"/>
  <c r="C62" i="17"/>
  <c r="P62" i="17" s="1"/>
  <c r="C62" i="18"/>
  <c r="R62" i="18" s="1"/>
  <c r="AR77" i="18"/>
  <c r="X58" i="17"/>
  <c r="AQ58" i="17" s="1"/>
  <c r="Y58" i="17"/>
  <c r="AR58" i="17" s="1"/>
  <c r="AE58" i="17"/>
  <c r="AX58" i="17" s="1"/>
  <c r="AF58" i="17"/>
  <c r="AY58" i="17" s="1"/>
  <c r="AC58" i="17"/>
  <c r="AV58" i="17" s="1"/>
  <c r="Z58" i="17"/>
  <c r="AS58" i="17" s="1"/>
  <c r="AA58" i="17"/>
  <c r="AT58" i="17" s="1"/>
  <c r="AD58" i="17"/>
  <c r="AW58" i="17" s="1"/>
  <c r="R32" i="16"/>
  <c r="Q34" i="16"/>
  <c r="Q37" i="16" s="1"/>
  <c r="Q39" i="16" s="1"/>
  <c r="Q58" i="16" s="1"/>
  <c r="AJ58" i="16" s="1"/>
  <c r="BC58" i="16" s="1"/>
  <c r="C59" i="10"/>
  <c r="J59" i="10" s="1"/>
  <c r="AC59" i="10" s="1"/>
  <c r="AV59" i="10" s="1"/>
  <c r="C59" i="16"/>
  <c r="C63" i="10"/>
  <c r="J63" i="10" s="1"/>
  <c r="AC63" i="10" s="1"/>
  <c r="AV63" i="10" s="1"/>
  <c r="C63" i="16"/>
  <c r="C62" i="10"/>
  <c r="J62" i="10" s="1"/>
  <c r="AC62" i="10" s="1"/>
  <c r="AV62" i="10" s="1"/>
  <c r="C62" i="16"/>
  <c r="C64" i="10"/>
  <c r="J64" i="10" s="1"/>
  <c r="AC64" i="10" s="1"/>
  <c r="AV64" i="10" s="1"/>
  <c r="C64" i="16"/>
  <c r="C61" i="10"/>
  <c r="J61" i="10" s="1"/>
  <c r="AC61" i="10" s="1"/>
  <c r="AV61" i="10" s="1"/>
  <c r="C61" i="16"/>
  <c r="C60" i="10"/>
  <c r="J60" i="10" s="1"/>
  <c r="AC60" i="10" s="1"/>
  <c r="AV60" i="10" s="1"/>
  <c r="C60" i="16"/>
  <c r="BB49" i="15"/>
  <c r="AY19" i="15"/>
  <c r="AX20" i="15"/>
  <c r="F58" i="10"/>
  <c r="Y58" i="10" s="1"/>
  <c r="AR58" i="10" s="1"/>
  <c r="E58" i="10"/>
  <c r="X58" i="10" s="1"/>
  <c r="AQ58" i="10" s="1"/>
  <c r="G58" i="10"/>
  <c r="Z58" i="10" s="1"/>
  <c r="AS58" i="10" s="1"/>
  <c r="H58" i="10"/>
  <c r="AA58" i="10" s="1"/>
  <c r="AT58" i="10" s="1"/>
  <c r="D58" i="10"/>
  <c r="W58" i="10" s="1"/>
  <c r="AP58" i="10" s="1"/>
  <c r="I58" i="10"/>
  <c r="AB58" i="10" s="1"/>
  <c r="AU58" i="10" s="1"/>
  <c r="K58" i="10"/>
  <c r="AD58" i="10" s="1"/>
  <c r="AW58" i="10" s="1"/>
  <c r="M32" i="10"/>
  <c r="L34" i="10"/>
  <c r="L37" i="10" s="1"/>
  <c r="L39" i="10" s="1"/>
  <c r="AP77" i="16" l="1"/>
  <c r="F63" i="18"/>
  <c r="E63" i="18"/>
  <c r="L63" i="18"/>
  <c r="I63" i="18"/>
  <c r="J63" i="18"/>
  <c r="K63" i="18"/>
  <c r="G63" i="18"/>
  <c r="H63" i="18"/>
  <c r="N63" i="18"/>
  <c r="M63" i="18"/>
  <c r="O63" i="18"/>
  <c r="D63" i="18"/>
  <c r="P63" i="18"/>
  <c r="Q63" i="18"/>
  <c r="AH63" i="17"/>
  <c r="BA63" i="17" s="1"/>
  <c r="E63" i="17"/>
  <c r="X63" i="17" s="1"/>
  <c r="AQ63" i="17" s="1"/>
  <c r="F63" i="17"/>
  <c r="Y63" i="17" s="1"/>
  <c r="AR63" i="17" s="1"/>
  <c r="H63" i="17"/>
  <c r="AA63" i="17" s="1"/>
  <c r="AT63" i="17" s="1"/>
  <c r="J63" i="17"/>
  <c r="AC63" i="17" s="1"/>
  <c r="AV63" i="17" s="1"/>
  <c r="I63" i="17"/>
  <c r="AB63" i="17" s="1"/>
  <c r="AU63" i="17" s="1"/>
  <c r="G63" i="17"/>
  <c r="K63" i="17"/>
  <c r="L63" i="17"/>
  <c r="M63" i="17"/>
  <c r="N63" i="17"/>
  <c r="D63" i="17"/>
  <c r="O63" i="17"/>
  <c r="F59" i="18"/>
  <c r="E59" i="18"/>
  <c r="K59" i="18"/>
  <c r="L59" i="18"/>
  <c r="AE59" i="18" s="1"/>
  <c r="AX59" i="18" s="1"/>
  <c r="I59" i="18"/>
  <c r="AB59" i="18" s="1"/>
  <c r="AU59" i="18" s="1"/>
  <c r="J59" i="18"/>
  <c r="G59" i="18"/>
  <c r="H59" i="18"/>
  <c r="N59" i="18"/>
  <c r="AG59" i="18" s="1"/>
  <c r="AZ59" i="18" s="1"/>
  <c r="AZ98" i="18" s="1" a="1"/>
  <c r="AZ98" i="18" s="1"/>
  <c r="M59" i="18"/>
  <c r="AF59" i="18" s="1"/>
  <c r="AY59" i="18" s="1"/>
  <c r="AY98" i="18" s="1" a="1"/>
  <c r="AY98" i="18" s="1"/>
  <c r="O59" i="18"/>
  <c r="AH59" i="18" s="1"/>
  <c r="BA59" i="18" s="1"/>
  <c r="D59" i="18"/>
  <c r="W59" i="18" s="1"/>
  <c r="AP59" i="18" s="1"/>
  <c r="AP98" i="18" s="1" a="1"/>
  <c r="AP98" i="18" s="1"/>
  <c r="P59" i="18"/>
  <c r="AI59" i="18" s="1"/>
  <c r="BB59" i="18" s="1"/>
  <c r="Q59" i="18"/>
  <c r="E62" i="17"/>
  <c r="F62" i="17"/>
  <c r="I62" i="17"/>
  <c r="H62" i="17"/>
  <c r="G62" i="17"/>
  <c r="J62" i="17"/>
  <c r="L62" i="17"/>
  <c r="K62" i="17"/>
  <c r="AD62" i="17" s="1"/>
  <c r="AW62" i="17" s="1"/>
  <c r="M62" i="17"/>
  <c r="N62" i="17"/>
  <c r="D62" i="17"/>
  <c r="O62" i="17"/>
  <c r="AE59" i="17"/>
  <c r="AX59" i="17" s="1"/>
  <c r="F59" i="17"/>
  <c r="Y59" i="17" s="1"/>
  <c r="AR59" i="17" s="1"/>
  <c r="E59" i="17"/>
  <c r="X59" i="17" s="1"/>
  <c r="AQ59" i="17" s="1"/>
  <c r="G59" i="17"/>
  <c r="Z59" i="17" s="1"/>
  <c r="AS59" i="17" s="1"/>
  <c r="I59" i="17"/>
  <c r="AB59" i="17" s="1"/>
  <c r="AU59" i="17" s="1"/>
  <c r="J59" i="17"/>
  <c r="AC59" i="17" s="1"/>
  <c r="AV59" i="17" s="1"/>
  <c r="H59" i="17"/>
  <c r="AA59" i="17" s="1"/>
  <c r="AT59" i="17" s="1"/>
  <c r="L59" i="17"/>
  <c r="K59" i="17"/>
  <c r="M59" i="17"/>
  <c r="N59" i="17"/>
  <c r="D59" i="17"/>
  <c r="O59" i="17"/>
  <c r="Q62" i="17"/>
  <c r="Q60" i="17"/>
  <c r="Q58" i="17"/>
  <c r="AJ58" i="17" s="1"/>
  <c r="BC58" i="17" s="1"/>
  <c r="Q59" i="17"/>
  <c r="Q64" i="17"/>
  <c r="AJ64" i="17" s="1"/>
  <c r="BC64" i="17" s="1"/>
  <c r="Q63" i="17"/>
  <c r="Q61" i="17"/>
  <c r="AJ61" i="17" s="1"/>
  <c r="BC61" i="17" s="1"/>
  <c r="R63" i="18"/>
  <c r="AK63" i="18" s="1"/>
  <c r="BD63" i="18" s="1"/>
  <c r="F62" i="18"/>
  <c r="Y62" i="18" s="1"/>
  <c r="AR62" i="18" s="1"/>
  <c r="E62" i="18"/>
  <c r="X62" i="18" s="1"/>
  <c r="AQ62" i="18" s="1"/>
  <c r="J62" i="18"/>
  <c r="AC62" i="18" s="1"/>
  <c r="AV62" i="18" s="1"/>
  <c r="AV101" i="18" s="1" a="1"/>
  <c r="AV101" i="18" s="1"/>
  <c r="L62" i="18"/>
  <c r="AE62" i="18" s="1"/>
  <c r="AX62" i="18" s="1"/>
  <c r="AX101" i="18" s="1" a="1"/>
  <c r="AX101" i="18" s="1"/>
  <c r="I62" i="18"/>
  <c r="AB62" i="18" s="1"/>
  <c r="AU62" i="18" s="1"/>
  <c r="K62" i="18"/>
  <c r="AD62" i="18" s="1"/>
  <c r="AW62" i="18" s="1"/>
  <c r="G62" i="18"/>
  <c r="H62" i="18"/>
  <c r="M62" i="18"/>
  <c r="N62" i="18"/>
  <c r="O62" i="18"/>
  <c r="AH62" i="18" s="1"/>
  <c r="BA62" i="18" s="1"/>
  <c r="P62" i="18"/>
  <c r="D62" i="18"/>
  <c r="Q62" i="18"/>
  <c r="E60" i="18"/>
  <c r="F60" i="18"/>
  <c r="J60" i="18"/>
  <c r="L60" i="18"/>
  <c r="AE60" i="18" s="1"/>
  <c r="AX60" i="18" s="1"/>
  <c r="AX99" i="18" s="1" a="1"/>
  <c r="AX99" i="18" s="1"/>
  <c r="I60" i="18"/>
  <c r="K60" i="18"/>
  <c r="H60" i="18"/>
  <c r="AA60" i="18" s="1"/>
  <c r="AT60" i="18" s="1"/>
  <c r="AT99" i="18" s="1" a="1"/>
  <c r="AT99" i="18" s="1"/>
  <c r="G60" i="18"/>
  <c r="Z60" i="18" s="1"/>
  <c r="AS60" i="18" s="1"/>
  <c r="AS99" i="18" s="1" a="1"/>
  <c r="AS99" i="18" s="1"/>
  <c r="M60" i="18"/>
  <c r="AF60" i="18" s="1"/>
  <c r="AY60" i="18" s="1"/>
  <c r="AY99" i="18" s="1" a="1"/>
  <c r="AY99" i="18" s="1"/>
  <c r="N60" i="18"/>
  <c r="AG60" i="18" s="1"/>
  <c r="AZ60" i="18" s="1"/>
  <c r="AZ99" i="18" s="1" a="1"/>
  <c r="AZ99" i="18" s="1"/>
  <c r="O60" i="18"/>
  <c r="AH60" i="18" s="1"/>
  <c r="BA60" i="18" s="1"/>
  <c r="P60" i="18"/>
  <c r="AI60" i="18" s="1"/>
  <c r="BB60" i="18" s="1"/>
  <c r="D60" i="18"/>
  <c r="Q60" i="18"/>
  <c r="S62" i="18"/>
  <c r="S61" i="18"/>
  <c r="S60" i="18"/>
  <c r="S59" i="18"/>
  <c r="S58" i="18"/>
  <c r="AL58" i="18" s="1"/>
  <c r="BE58" i="18" s="1"/>
  <c r="S63" i="18"/>
  <c r="S64" i="18"/>
  <c r="F60" i="17"/>
  <c r="Y60" i="17" s="1"/>
  <c r="AR60" i="17" s="1"/>
  <c r="E60" i="17"/>
  <c r="X60" i="17" s="1"/>
  <c r="AQ60" i="17" s="1"/>
  <c r="H60" i="17"/>
  <c r="AA60" i="17" s="1"/>
  <c r="AT60" i="17" s="1"/>
  <c r="J60" i="17"/>
  <c r="AC60" i="17" s="1"/>
  <c r="AV60" i="17" s="1"/>
  <c r="G60" i="17"/>
  <c r="I60" i="17"/>
  <c r="AB60" i="17" s="1"/>
  <c r="AU60" i="17" s="1"/>
  <c r="K60" i="17"/>
  <c r="AD60" i="17" s="1"/>
  <c r="AW60" i="17" s="1"/>
  <c r="L60" i="17"/>
  <c r="AE60" i="17" s="1"/>
  <c r="AX60" i="17" s="1"/>
  <c r="M60" i="17"/>
  <c r="AF60" i="17" s="1"/>
  <c r="AY60" i="17" s="1"/>
  <c r="D60" i="17"/>
  <c r="W60" i="17" s="1"/>
  <c r="AP60" i="17" s="1"/>
  <c r="N60" i="17"/>
  <c r="AG60" i="17" s="1"/>
  <c r="AZ60" i="17" s="1"/>
  <c r="O60" i="17"/>
  <c r="T62" i="18"/>
  <c r="AM62" i="18" s="1"/>
  <c r="BF62" i="18" s="1"/>
  <c r="T61" i="18"/>
  <c r="AM61" i="18" s="1"/>
  <c r="BF61" i="18" s="1"/>
  <c r="T60" i="18"/>
  <c r="AM60" i="18" s="1"/>
  <c r="BF60" i="18" s="1"/>
  <c r="T59" i="18"/>
  <c r="T58" i="18"/>
  <c r="AM58" i="18" s="1"/>
  <c r="BF58" i="18" s="1"/>
  <c r="T63" i="18"/>
  <c r="AM63" i="18" s="1"/>
  <c r="BF63" i="18" s="1"/>
  <c r="T64" i="18"/>
  <c r="AM64" i="18" s="1"/>
  <c r="BF64" i="18" s="1"/>
  <c r="AI61" i="17"/>
  <c r="BB61" i="17" s="1"/>
  <c r="F61" i="17"/>
  <c r="Y61" i="17" s="1"/>
  <c r="AR61" i="17" s="1"/>
  <c r="E61" i="17"/>
  <c r="X61" i="17" s="1"/>
  <c r="AQ61" i="17" s="1"/>
  <c r="J61" i="17"/>
  <c r="AC61" i="17" s="1"/>
  <c r="AV61" i="17" s="1"/>
  <c r="G61" i="17"/>
  <c r="Z61" i="17" s="1"/>
  <c r="AS61" i="17" s="1"/>
  <c r="H61" i="17"/>
  <c r="AA61" i="17" s="1"/>
  <c r="AT61" i="17" s="1"/>
  <c r="I61" i="17"/>
  <c r="AB61" i="17" s="1"/>
  <c r="AU61" i="17" s="1"/>
  <c r="L61" i="17"/>
  <c r="AE61" i="17" s="1"/>
  <c r="AX61" i="17" s="1"/>
  <c r="K61" i="17"/>
  <c r="AD61" i="17" s="1"/>
  <c r="AW61" i="17" s="1"/>
  <c r="M61" i="17"/>
  <c r="AF61" i="17" s="1"/>
  <c r="AY61" i="17" s="1"/>
  <c r="N61" i="17"/>
  <c r="AG61" i="17" s="1"/>
  <c r="AZ61" i="17" s="1"/>
  <c r="D61" i="17"/>
  <c r="W61" i="17" s="1"/>
  <c r="AP61" i="17" s="1"/>
  <c r="O61" i="17"/>
  <c r="F64" i="18"/>
  <c r="E64" i="18"/>
  <c r="K64" i="18"/>
  <c r="I64" i="18"/>
  <c r="J64" i="18"/>
  <c r="L64" i="18"/>
  <c r="H64" i="18"/>
  <c r="G64" i="18"/>
  <c r="M64" i="18"/>
  <c r="N64" i="18"/>
  <c r="O64" i="18"/>
  <c r="AH64" i="18" s="1"/>
  <c r="BA64" i="18" s="1"/>
  <c r="D64" i="18"/>
  <c r="W64" i="18" s="1"/>
  <c r="AP64" i="18" s="1"/>
  <c r="AP103" i="18" s="1" a="1"/>
  <c r="AP103" i="18" s="1"/>
  <c r="P64" i="18"/>
  <c r="Q64" i="18"/>
  <c r="AJ64" i="18" s="1"/>
  <c r="BC64" i="18" s="1"/>
  <c r="F61" i="18"/>
  <c r="Y61" i="18" s="1"/>
  <c r="AR61" i="18" s="1"/>
  <c r="E61" i="18"/>
  <c r="X61" i="18" s="1"/>
  <c r="AQ61" i="18" s="1"/>
  <c r="K61" i="18"/>
  <c r="AD61" i="18" s="1"/>
  <c r="AW61" i="18" s="1"/>
  <c r="AW100" i="18" s="1" a="1"/>
  <c r="AW100" i="18" s="1"/>
  <c r="J61" i="18"/>
  <c r="AC61" i="18" s="1"/>
  <c r="AV61" i="18" s="1"/>
  <c r="AV100" i="18" s="1" a="1"/>
  <c r="AV100" i="18" s="1"/>
  <c r="L61" i="18"/>
  <c r="AE61" i="18" s="1"/>
  <c r="AX61" i="18" s="1"/>
  <c r="AX100" i="18" s="1" a="1"/>
  <c r="AX100" i="18" s="1"/>
  <c r="I61" i="18"/>
  <c r="H61" i="18"/>
  <c r="G61" i="18"/>
  <c r="Z61" i="18" s="1"/>
  <c r="AS61" i="18" s="1"/>
  <c r="N61" i="18"/>
  <c r="M61" i="18"/>
  <c r="AF61" i="18" s="1"/>
  <c r="AY61" i="18" s="1"/>
  <c r="AY100" i="18" s="1" a="1"/>
  <c r="AY100" i="18" s="1"/>
  <c r="O61" i="18"/>
  <c r="P61" i="18"/>
  <c r="D61" i="18"/>
  <c r="W61" i="18" s="1"/>
  <c r="AP61" i="18" s="1"/>
  <c r="AP100" i="18" s="1" a="1"/>
  <c r="AP100" i="18" s="1"/>
  <c r="Q61" i="18"/>
  <c r="AJ61" i="18" s="1"/>
  <c r="BC61" i="18" s="1"/>
  <c r="F64" i="17"/>
  <c r="Y64" i="17" s="1"/>
  <c r="AR64" i="17" s="1"/>
  <c r="E64" i="17"/>
  <c r="X64" i="17" s="1"/>
  <c r="AQ64" i="17" s="1"/>
  <c r="H64" i="17"/>
  <c r="AA64" i="17" s="1"/>
  <c r="AT64" i="17" s="1"/>
  <c r="J64" i="17"/>
  <c r="AC64" i="17" s="1"/>
  <c r="AV64" i="17" s="1"/>
  <c r="I64" i="17"/>
  <c r="AB64" i="17" s="1"/>
  <c r="AU64" i="17" s="1"/>
  <c r="G64" i="17"/>
  <c r="Z64" i="17" s="1"/>
  <c r="AS64" i="17" s="1"/>
  <c r="K64" i="17"/>
  <c r="AD64" i="17" s="1"/>
  <c r="AW64" i="17" s="1"/>
  <c r="L64" i="17"/>
  <c r="AE64" i="17" s="1"/>
  <c r="AX64" i="17" s="1"/>
  <c r="M64" i="17"/>
  <c r="AF64" i="17" s="1"/>
  <c r="AY64" i="17" s="1"/>
  <c r="D64" i="17"/>
  <c r="W64" i="17" s="1"/>
  <c r="AP64" i="17" s="1"/>
  <c r="N64" i="17"/>
  <c r="AG64" i="17" s="1"/>
  <c r="AZ64" i="17" s="1"/>
  <c r="O64" i="17"/>
  <c r="AI64" i="17"/>
  <c r="BB64" i="17" s="1"/>
  <c r="AH61" i="17"/>
  <c r="BA61" i="17" s="1"/>
  <c r="G59" i="10"/>
  <c r="Z59" i="10" s="1"/>
  <c r="AS59" i="10" s="1"/>
  <c r="AU77" i="16"/>
  <c r="S32" i="17"/>
  <c r="R34" i="17"/>
  <c r="R37" i="17" s="1"/>
  <c r="R39" i="17" s="1"/>
  <c r="AG59" i="17"/>
  <c r="AZ59" i="17" s="1"/>
  <c r="AH59" i="17"/>
  <c r="BA59" i="17" s="1"/>
  <c r="AJ59" i="17"/>
  <c r="BC59" i="17" s="1"/>
  <c r="AD63" i="17"/>
  <c r="AW63" i="17" s="1"/>
  <c r="AG63" i="17"/>
  <c r="AZ63" i="17" s="1"/>
  <c r="BE68" i="15"/>
  <c r="AE63" i="17"/>
  <c r="AX63" i="17" s="1"/>
  <c r="AF59" i="17"/>
  <c r="AY59" i="17" s="1"/>
  <c r="AF63" i="17"/>
  <c r="AY63" i="17" s="1"/>
  <c r="AT77" i="16"/>
  <c r="BB77" i="16"/>
  <c r="BG63" i="15"/>
  <c r="BF67" i="15"/>
  <c r="BF66" i="15"/>
  <c r="BF69" i="15"/>
  <c r="BB82" i="15"/>
  <c r="BB83" i="15"/>
  <c r="BB84" i="15"/>
  <c r="BB85" i="15"/>
  <c r="BD65" i="15"/>
  <c r="BD72" i="15" s="1"/>
  <c r="BC71" i="15"/>
  <c r="BC70" i="15"/>
  <c r="BC73" i="15"/>
  <c r="BA86" i="15"/>
  <c r="BA77" i="16"/>
  <c r="AZ77" i="16"/>
  <c r="AV77" i="16"/>
  <c r="AS77" i="16"/>
  <c r="AQ77" i="16"/>
  <c r="AW77" i="16"/>
  <c r="AY77" i="16"/>
  <c r="W59" i="17"/>
  <c r="AP59" i="17" s="1"/>
  <c r="AD59" i="17"/>
  <c r="AW59" i="17" s="1"/>
  <c r="AI59" i="17"/>
  <c r="BB59" i="17" s="1"/>
  <c r="D62" i="10"/>
  <c r="W62" i="10" s="1"/>
  <c r="AP62" i="10" s="1"/>
  <c r="H59" i="10"/>
  <c r="AA59" i="10" s="1"/>
  <c r="AT59" i="10" s="1"/>
  <c r="BC77" i="16"/>
  <c r="AX77" i="16"/>
  <c r="AH60" i="17"/>
  <c r="BA60" i="17" s="1"/>
  <c r="AJ60" i="17"/>
  <c r="BC60" i="17" s="1"/>
  <c r="AV77" i="10"/>
  <c r="AI60" i="17"/>
  <c r="BB60" i="17" s="1"/>
  <c r="AH64" i="17"/>
  <c r="BA64" i="17" s="1"/>
  <c r="Z63" i="17"/>
  <c r="AS63" i="17" s="1"/>
  <c r="AI63" i="17"/>
  <c r="BB63" i="17" s="1"/>
  <c r="Z60" i="17"/>
  <c r="AS60" i="17" s="1"/>
  <c r="AS79" i="17" s="1"/>
  <c r="AG62" i="17"/>
  <c r="AZ62" i="17" s="1"/>
  <c r="AF62" i="17"/>
  <c r="AY62" i="17" s="1"/>
  <c r="E64" i="10"/>
  <c r="X64" i="10" s="1"/>
  <c r="AQ64" i="10" s="1"/>
  <c r="AI62" i="18"/>
  <c r="BB62" i="18" s="1"/>
  <c r="AJ62" i="18"/>
  <c r="BC62" i="18" s="1"/>
  <c r="AK62" i="18"/>
  <c r="BD62" i="18" s="1"/>
  <c r="AG62" i="18"/>
  <c r="AZ62" i="18" s="1"/>
  <c r="AZ101" i="18" s="1" a="1"/>
  <c r="AZ101" i="18" s="1"/>
  <c r="W62" i="18"/>
  <c r="AP62" i="18" s="1"/>
  <c r="AP101" i="18" s="1" a="1"/>
  <c r="AP101" i="18" s="1"/>
  <c r="AL62" i="18"/>
  <c r="BE62" i="18" s="1"/>
  <c r="BE101" i="18" s="1" a="1"/>
  <c r="BE101" i="18" s="1"/>
  <c r="AF62" i="18"/>
  <c r="AY62" i="18" s="1"/>
  <c r="AY101" i="18" s="1" a="1"/>
  <c r="AY101" i="18" s="1"/>
  <c r="Z62" i="18"/>
  <c r="AS62" i="18" s="1"/>
  <c r="AS101" i="18" s="1" a="1"/>
  <c r="AS101" i="18" s="1"/>
  <c r="AA62" i="18"/>
  <c r="AT62" i="18" s="1"/>
  <c r="AT101" i="18" s="1" a="1"/>
  <c r="AT101" i="18" s="1"/>
  <c r="AC62" i="17"/>
  <c r="AV62" i="17" s="1"/>
  <c r="Z62" i="17"/>
  <c r="AS62" i="17" s="1"/>
  <c r="Y63" i="18"/>
  <c r="AR63" i="18" s="1"/>
  <c r="AI63" i="18"/>
  <c r="BB63" i="18" s="1"/>
  <c r="AH63" i="18"/>
  <c r="BA63" i="18" s="1"/>
  <c r="X63" i="18"/>
  <c r="AQ63" i="18" s="1"/>
  <c r="AJ63" i="18"/>
  <c r="BC63" i="18" s="1"/>
  <c r="AF63" i="18"/>
  <c r="AY63" i="18" s="1"/>
  <c r="AY102" i="18" s="1" a="1"/>
  <c r="AY102" i="18" s="1"/>
  <c r="AB63" i="18"/>
  <c r="AU63" i="18" s="1"/>
  <c r="AU102" i="18" s="1" a="1"/>
  <c r="AU102" i="18" s="1"/>
  <c r="W63" i="18"/>
  <c r="AP63" i="18" s="1"/>
  <c r="AP102" i="18" s="1" a="1"/>
  <c r="AP102" i="18" s="1"/>
  <c r="AG63" i="18"/>
  <c r="AZ63" i="18" s="1"/>
  <c r="AZ102" i="18" s="1" a="1"/>
  <c r="AZ102" i="18" s="1"/>
  <c r="AL63" i="18"/>
  <c r="BE63" i="18" s="1"/>
  <c r="BE102" i="18" s="1" a="1"/>
  <c r="BE102" i="18" s="1"/>
  <c r="AC63" i="18"/>
  <c r="AV63" i="18" s="1"/>
  <c r="AV102" i="18" s="1" a="1"/>
  <c r="AV102" i="18" s="1"/>
  <c r="AA63" i="18"/>
  <c r="AT63" i="18" s="1"/>
  <c r="AT102" i="18" s="1" a="1"/>
  <c r="AT102" i="18" s="1"/>
  <c r="Z63" i="18"/>
  <c r="AS63" i="18" s="1"/>
  <c r="AS102" i="18" s="1" a="1"/>
  <c r="AS102" i="18" s="1"/>
  <c r="AE63" i="18"/>
  <c r="AX63" i="18" s="1"/>
  <c r="AX102" i="18" s="1" a="1"/>
  <c r="AX102" i="18" s="1"/>
  <c r="AD63" i="18"/>
  <c r="AW63" i="18" s="1"/>
  <c r="AW102" i="18" s="1" a="1"/>
  <c r="AW102" i="18" s="1"/>
  <c r="AB62" i="17"/>
  <c r="AU62" i="17" s="1"/>
  <c r="AI61" i="18"/>
  <c r="BB61" i="18" s="1"/>
  <c r="AK61" i="18"/>
  <c r="BD61" i="18" s="1"/>
  <c r="AH61" i="18"/>
  <c r="BA61" i="18" s="1"/>
  <c r="AG61" i="18"/>
  <c r="AZ61" i="18" s="1"/>
  <c r="AZ100" i="18" s="1" a="1"/>
  <c r="AZ100" i="18" s="1"/>
  <c r="AB61" i="18"/>
  <c r="AU61" i="18" s="1"/>
  <c r="AU100" i="18" s="1" a="1"/>
  <c r="AU100" i="18" s="1"/>
  <c r="AL61" i="18"/>
  <c r="BE61" i="18" s="1"/>
  <c r="BE100" i="18" s="1" a="1"/>
  <c r="BE100" i="18" s="1"/>
  <c r="AA61" i="18"/>
  <c r="AT61" i="18" s="1"/>
  <c r="AT100" i="18" s="1" a="1"/>
  <c r="AT100" i="18" s="1"/>
  <c r="AJ62" i="17"/>
  <c r="BC62" i="17" s="1"/>
  <c r="AH62" i="17"/>
  <c r="BA62" i="17" s="1"/>
  <c r="AI62" i="17"/>
  <c r="BB62" i="17" s="1"/>
  <c r="AA62" i="17"/>
  <c r="AT62" i="17" s="1"/>
  <c r="AR77" i="16"/>
  <c r="W62" i="17"/>
  <c r="AP62" i="17" s="1"/>
  <c r="Y59" i="18"/>
  <c r="AR59" i="18" s="1"/>
  <c r="X59" i="18"/>
  <c r="AQ59" i="18" s="1"/>
  <c r="AK59" i="18"/>
  <c r="BD59" i="18" s="1"/>
  <c r="AJ59" i="18"/>
  <c r="BC59" i="18" s="1"/>
  <c r="AC59" i="18"/>
  <c r="AV59" i="18" s="1"/>
  <c r="AV98" i="18" s="1" a="1"/>
  <c r="AV98" i="18" s="1"/>
  <c r="AM59" i="18"/>
  <c r="BF59" i="18" s="1"/>
  <c r="AL59" i="18"/>
  <c r="BE59" i="18" s="1"/>
  <c r="BE98" i="18" s="1" a="1"/>
  <c r="BE98" i="18" s="1"/>
  <c r="Z59" i="18"/>
  <c r="AS59" i="18" s="1"/>
  <c r="AS98" i="18" s="1" a="1"/>
  <c r="AS98" i="18" s="1"/>
  <c r="AA59" i="18"/>
  <c r="AT59" i="18" s="1"/>
  <c r="AT98" i="18" s="1" a="1"/>
  <c r="AT98" i="18" s="1"/>
  <c r="AD59" i="18"/>
  <c r="AW59" i="18" s="1"/>
  <c r="AW98" i="18" s="1" a="1"/>
  <c r="AW98" i="18" s="1"/>
  <c r="AJ63" i="17"/>
  <c r="BC63" i="17" s="1"/>
  <c r="X62" i="17"/>
  <c r="AQ62" i="17" s="1"/>
  <c r="Y60" i="18"/>
  <c r="AR60" i="18" s="1"/>
  <c r="AJ60" i="18"/>
  <c r="BC60" i="18" s="1"/>
  <c r="AK60" i="18"/>
  <c r="BD60" i="18" s="1"/>
  <c r="X60" i="18"/>
  <c r="AQ60" i="18" s="1"/>
  <c r="W60" i="18"/>
  <c r="AP60" i="18" s="1"/>
  <c r="AP99" i="18" s="1" a="1"/>
  <c r="AP99" i="18" s="1"/>
  <c r="AC60" i="18"/>
  <c r="AV60" i="18" s="1"/>
  <c r="AV99" i="18" s="1" a="1"/>
  <c r="AV99" i="18" s="1"/>
  <c r="AB60" i="18"/>
  <c r="AU60" i="18" s="1"/>
  <c r="AU99" i="18" s="1" a="1"/>
  <c r="AU99" i="18" s="1"/>
  <c r="AL60" i="18"/>
  <c r="BE60" i="18" s="1"/>
  <c r="BE99" i="18" s="1" a="1"/>
  <c r="BE99" i="18" s="1"/>
  <c r="AD60" i="18"/>
  <c r="AW60" i="18" s="1"/>
  <c r="AW99" i="18" s="1" a="1"/>
  <c r="AW99" i="18" s="1"/>
  <c r="W63" i="17"/>
  <c r="AP63" i="17" s="1"/>
  <c r="AE62" i="17"/>
  <c r="AX62" i="17" s="1"/>
  <c r="Y62" i="17"/>
  <c r="AR62" i="17" s="1"/>
  <c r="AI64" i="18"/>
  <c r="BB64" i="18" s="1"/>
  <c r="Y64" i="18"/>
  <c r="AR64" i="18" s="1"/>
  <c r="AK64" i="18"/>
  <c r="BD64" i="18" s="1"/>
  <c r="X64" i="18"/>
  <c r="AQ64" i="18" s="1"/>
  <c r="AB64" i="18"/>
  <c r="AU64" i="18" s="1"/>
  <c r="AU103" i="18" s="1" a="1"/>
  <c r="AU103" i="18" s="1"/>
  <c r="AG64" i="18"/>
  <c r="AZ64" i="18" s="1"/>
  <c r="AZ103" i="18" s="1" a="1"/>
  <c r="AZ103" i="18" s="1"/>
  <c r="AF64" i="18"/>
  <c r="AY64" i="18" s="1"/>
  <c r="AY103" i="18" s="1" a="1"/>
  <c r="AY103" i="18" s="1"/>
  <c r="AC64" i="18"/>
  <c r="AV64" i="18" s="1"/>
  <c r="AV103" i="18" s="1" a="1"/>
  <c r="AV103" i="18" s="1"/>
  <c r="AL64" i="18"/>
  <c r="BE64" i="18" s="1"/>
  <c r="BE103" i="18" s="1" a="1"/>
  <c r="BE103" i="18" s="1"/>
  <c r="AA64" i="18"/>
  <c r="AT64" i="18" s="1"/>
  <c r="AT103" i="18" s="1" a="1"/>
  <c r="AT103" i="18" s="1"/>
  <c r="Z64" i="18"/>
  <c r="AS64" i="18" s="1"/>
  <c r="AS103" i="18" s="1" a="1"/>
  <c r="AS103" i="18" s="1"/>
  <c r="AE64" i="18"/>
  <c r="AX64" i="18" s="1"/>
  <c r="AX103" i="18" s="1" a="1"/>
  <c r="AX103" i="18" s="1"/>
  <c r="AD64" i="18"/>
  <c r="AW64" i="18" s="1"/>
  <c r="AW103" i="18" s="1" a="1"/>
  <c r="AW103" i="18" s="1"/>
  <c r="D60" i="10"/>
  <c r="W60" i="10" s="1"/>
  <c r="AP60" i="10" s="1"/>
  <c r="F60" i="10"/>
  <c r="Y60" i="10" s="1"/>
  <c r="AR60" i="10" s="1"/>
  <c r="AW77" i="17"/>
  <c r="BB77" i="17"/>
  <c r="AP77" i="17"/>
  <c r="AX78" i="17"/>
  <c r="AS77" i="17"/>
  <c r="AV77" i="17"/>
  <c r="BC77" i="17"/>
  <c r="AY77" i="17"/>
  <c r="AX77" i="17"/>
  <c r="AR77" i="17"/>
  <c r="AQ77" i="17"/>
  <c r="BA77" i="17"/>
  <c r="AZ77" i="17"/>
  <c r="BA82" i="17"/>
  <c r="BB80" i="17"/>
  <c r="BB78" i="17"/>
  <c r="AT77" i="17"/>
  <c r="K59" i="10"/>
  <c r="AD59" i="10" s="1"/>
  <c r="AW59" i="10" s="1"/>
  <c r="AU77" i="17"/>
  <c r="BB83" i="17"/>
  <c r="I64" i="10"/>
  <c r="AB64" i="10" s="1"/>
  <c r="AU64" i="10" s="1"/>
  <c r="D64" i="10"/>
  <c r="W64" i="10" s="1"/>
  <c r="AP64" i="10" s="1"/>
  <c r="H64" i="10"/>
  <c r="AA64" i="10" s="1"/>
  <c r="AT64" i="10" s="1"/>
  <c r="F64" i="10"/>
  <c r="Y64" i="10" s="1"/>
  <c r="AR64" i="10" s="1"/>
  <c r="S32" i="16"/>
  <c r="R34" i="16"/>
  <c r="R37" i="16" s="1"/>
  <c r="R39" i="16" s="1"/>
  <c r="R58" i="16" s="1"/>
  <c r="AK58" i="16" s="1"/>
  <c r="BD58" i="16" s="1"/>
  <c r="G63" i="10"/>
  <c r="Z63" i="10" s="1"/>
  <c r="AS63" i="10" s="1"/>
  <c r="D61" i="10"/>
  <c r="W61" i="10" s="1"/>
  <c r="AP61" i="10" s="1"/>
  <c r="I59" i="10"/>
  <c r="AB59" i="10" s="1"/>
  <c r="AU59" i="10" s="1"/>
  <c r="E60" i="10"/>
  <c r="X60" i="10" s="1"/>
  <c r="AQ60" i="10" s="1"/>
  <c r="F63" i="10"/>
  <c r="Y63" i="10" s="1"/>
  <c r="AR63" i="10" s="1"/>
  <c r="I61" i="10"/>
  <c r="AB61" i="10" s="1"/>
  <c r="AU61" i="10" s="1"/>
  <c r="D59" i="10"/>
  <c r="W59" i="10" s="1"/>
  <c r="AP59" i="10" s="1"/>
  <c r="K63" i="10"/>
  <c r="AD63" i="10" s="1"/>
  <c r="AW63" i="10" s="1"/>
  <c r="E59" i="10"/>
  <c r="X59" i="10" s="1"/>
  <c r="AQ59" i="10" s="1"/>
  <c r="H61" i="10"/>
  <c r="AA61" i="10" s="1"/>
  <c r="AT61" i="10" s="1"/>
  <c r="K60" i="10"/>
  <c r="AD60" i="10" s="1"/>
  <c r="AW60" i="10" s="1"/>
  <c r="F59" i="10"/>
  <c r="Y59" i="10" s="1"/>
  <c r="AR59" i="10" s="1"/>
  <c r="K61" i="10"/>
  <c r="AD61" i="10" s="1"/>
  <c r="AW61" i="10" s="1"/>
  <c r="I62" i="10"/>
  <c r="AB62" i="10" s="1"/>
  <c r="AU62" i="10" s="1"/>
  <c r="I60" i="10"/>
  <c r="AB60" i="10" s="1"/>
  <c r="AU60" i="10" s="1"/>
  <c r="G62" i="10"/>
  <c r="Z62" i="10" s="1"/>
  <c r="AS62" i="10" s="1"/>
  <c r="H60" i="10"/>
  <c r="AA60" i="10" s="1"/>
  <c r="AT60" i="10" s="1"/>
  <c r="I63" i="10"/>
  <c r="AB63" i="10" s="1"/>
  <c r="AU63" i="10" s="1"/>
  <c r="G60" i="10"/>
  <c r="Z60" i="10" s="1"/>
  <c r="AS60" i="10" s="1"/>
  <c r="H63" i="10"/>
  <c r="AA63" i="10" s="1"/>
  <c r="AT63" i="10" s="1"/>
  <c r="G64" i="10"/>
  <c r="Z64" i="10" s="1"/>
  <c r="AS64" i="10" s="1"/>
  <c r="G64" i="16"/>
  <c r="Z64" i="16" s="1"/>
  <c r="AS64" i="16" s="1"/>
  <c r="E64" i="16"/>
  <c r="X64" i="16" s="1"/>
  <c r="AQ64" i="16" s="1"/>
  <c r="I64" i="16"/>
  <c r="AB64" i="16" s="1"/>
  <c r="AU64" i="16" s="1"/>
  <c r="K64" i="16"/>
  <c r="AD64" i="16" s="1"/>
  <c r="AW64" i="16" s="1"/>
  <c r="D64" i="16"/>
  <c r="W64" i="16" s="1"/>
  <c r="AP64" i="16" s="1"/>
  <c r="M64" i="16"/>
  <c r="AF64" i="16" s="1"/>
  <c r="AY64" i="16" s="1"/>
  <c r="O64" i="16"/>
  <c r="AH64" i="16" s="1"/>
  <c r="BA64" i="16" s="1"/>
  <c r="Q64" i="16"/>
  <c r="AJ64" i="16" s="1"/>
  <c r="BC64" i="16" s="1"/>
  <c r="N64" i="16"/>
  <c r="AG64" i="16" s="1"/>
  <c r="AZ64" i="16" s="1"/>
  <c r="F64" i="16"/>
  <c r="Y64" i="16" s="1"/>
  <c r="AR64" i="16" s="1"/>
  <c r="H64" i="16"/>
  <c r="AA64" i="16" s="1"/>
  <c r="AT64" i="16" s="1"/>
  <c r="L64" i="16"/>
  <c r="AE64" i="16" s="1"/>
  <c r="AX64" i="16" s="1"/>
  <c r="J64" i="16"/>
  <c r="AC64" i="16" s="1"/>
  <c r="AV64" i="16" s="1"/>
  <c r="P64" i="16"/>
  <c r="AI64" i="16" s="1"/>
  <c r="BB64" i="16" s="1"/>
  <c r="H62" i="10"/>
  <c r="AA62" i="10" s="1"/>
  <c r="AT62" i="10" s="1"/>
  <c r="E62" i="16"/>
  <c r="X62" i="16" s="1"/>
  <c r="AQ62" i="16" s="1"/>
  <c r="G62" i="16"/>
  <c r="Z62" i="16" s="1"/>
  <c r="AS62" i="16" s="1"/>
  <c r="I62" i="16"/>
  <c r="AB62" i="16" s="1"/>
  <c r="AU62" i="16" s="1"/>
  <c r="D62" i="16"/>
  <c r="W62" i="16" s="1"/>
  <c r="AP62" i="16" s="1"/>
  <c r="K62" i="16"/>
  <c r="AD62" i="16" s="1"/>
  <c r="AW62" i="16" s="1"/>
  <c r="M62" i="16"/>
  <c r="AF62" i="16" s="1"/>
  <c r="AY62" i="16" s="1"/>
  <c r="O62" i="16"/>
  <c r="AH62" i="16" s="1"/>
  <c r="BA62" i="16" s="1"/>
  <c r="Q62" i="16"/>
  <c r="AJ62" i="16" s="1"/>
  <c r="BC62" i="16" s="1"/>
  <c r="F62" i="16"/>
  <c r="Y62" i="16" s="1"/>
  <c r="AR62" i="16" s="1"/>
  <c r="H62" i="16"/>
  <c r="AA62" i="16" s="1"/>
  <c r="AT62" i="16" s="1"/>
  <c r="L62" i="16"/>
  <c r="AE62" i="16" s="1"/>
  <c r="AX62" i="16" s="1"/>
  <c r="P62" i="16"/>
  <c r="AI62" i="16" s="1"/>
  <c r="BB62" i="16" s="1"/>
  <c r="N62" i="16"/>
  <c r="AG62" i="16" s="1"/>
  <c r="AZ62" i="16" s="1"/>
  <c r="J62" i="16"/>
  <c r="AC62" i="16" s="1"/>
  <c r="AV62" i="16" s="1"/>
  <c r="G61" i="10"/>
  <c r="Z61" i="10" s="1"/>
  <c r="AS61" i="10" s="1"/>
  <c r="E62" i="10"/>
  <c r="X62" i="10" s="1"/>
  <c r="AQ62" i="10" s="1"/>
  <c r="F62" i="10"/>
  <c r="Y62" i="10" s="1"/>
  <c r="AR62" i="10" s="1"/>
  <c r="E61" i="10"/>
  <c r="X61" i="10" s="1"/>
  <c r="AQ61" i="10" s="1"/>
  <c r="F61" i="10"/>
  <c r="Y61" i="10" s="1"/>
  <c r="AR61" i="10" s="1"/>
  <c r="D63" i="10"/>
  <c r="W63" i="10" s="1"/>
  <c r="AP63" i="10" s="1"/>
  <c r="G63" i="16"/>
  <c r="Z63" i="16" s="1"/>
  <c r="AS63" i="16" s="1"/>
  <c r="E63" i="16"/>
  <c r="X63" i="16" s="1"/>
  <c r="AQ63" i="16" s="1"/>
  <c r="I63" i="16"/>
  <c r="AB63" i="16" s="1"/>
  <c r="AU63" i="16" s="1"/>
  <c r="K63" i="16"/>
  <c r="AD63" i="16" s="1"/>
  <c r="AW63" i="16" s="1"/>
  <c r="D63" i="16"/>
  <c r="W63" i="16" s="1"/>
  <c r="AP63" i="16" s="1"/>
  <c r="M63" i="16"/>
  <c r="AF63" i="16" s="1"/>
  <c r="AY63" i="16" s="1"/>
  <c r="O63" i="16"/>
  <c r="AH63" i="16" s="1"/>
  <c r="BA63" i="16" s="1"/>
  <c r="Q63" i="16"/>
  <c r="AJ63" i="16" s="1"/>
  <c r="BC63" i="16" s="1"/>
  <c r="F63" i="16"/>
  <c r="Y63" i="16" s="1"/>
  <c r="AR63" i="16" s="1"/>
  <c r="H63" i="16"/>
  <c r="AA63" i="16" s="1"/>
  <c r="AT63" i="16" s="1"/>
  <c r="L63" i="16"/>
  <c r="AE63" i="16" s="1"/>
  <c r="AX63" i="16" s="1"/>
  <c r="P63" i="16"/>
  <c r="AI63" i="16" s="1"/>
  <c r="BB63" i="16" s="1"/>
  <c r="J63" i="16"/>
  <c r="AC63" i="16" s="1"/>
  <c r="AV63" i="16" s="1"/>
  <c r="N63" i="16"/>
  <c r="AG63" i="16" s="1"/>
  <c r="AZ63" i="16" s="1"/>
  <c r="E61" i="16"/>
  <c r="X61" i="16" s="1"/>
  <c r="AQ61" i="16" s="1"/>
  <c r="G61" i="16"/>
  <c r="Z61" i="16" s="1"/>
  <c r="AS61" i="16" s="1"/>
  <c r="I61" i="16"/>
  <c r="AB61" i="16" s="1"/>
  <c r="AU61" i="16" s="1"/>
  <c r="D61" i="16"/>
  <c r="W61" i="16" s="1"/>
  <c r="AP61" i="16" s="1"/>
  <c r="K61" i="16"/>
  <c r="AD61" i="16" s="1"/>
  <c r="AW61" i="16" s="1"/>
  <c r="M61" i="16"/>
  <c r="AF61" i="16" s="1"/>
  <c r="AY61" i="16" s="1"/>
  <c r="O61" i="16"/>
  <c r="AH61" i="16" s="1"/>
  <c r="BA61" i="16" s="1"/>
  <c r="Q61" i="16"/>
  <c r="AJ61" i="16" s="1"/>
  <c r="BC61" i="16" s="1"/>
  <c r="H61" i="16"/>
  <c r="AA61" i="16" s="1"/>
  <c r="AT61" i="16" s="1"/>
  <c r="P61" i="16"/>
  <c r="AI61" i="16" s="1"/>
  <c r="BB61" i="16" s="1"/>
  <c r="J61" i="16"/>
  <c r="AC61" i="16" s="1"/>
  <c r="AV61" i="16" s="1"/>
  <c r="N61" i="16"/>
  <c r="AG61" i="16" s="1"/>
  <c r="AZ61" i="16" s="1"/>
  <c r="L61" i="16"/>
  <c r="AE61" i="16" s="1"/>
  <c r="AX61" i="16" s="1"/>
  <c r="F61" i="16"/>
  <c r="Y61" i="16" s="1"/>
  <c r="AR61" i="16" s="1"/>
  <c r="E60" i="16"/>
  <c r="X60" i="16" s="1"/>
  <c r="AQ60" i="16" s="1"/>
  <c r="G60" i="16"/>
  <c r="Z60" i="16" s="1"/>
  <c r="AS60" i="16" s="1"/>
  <c r="I60" i="16"/>
  <c r="AB60" i="16" s="1"/>
  <c r="AU60" i="16" s="1"/>
  <c r="D60" i="16"/>
  <c r="W60" i="16" s="1"/>
  <c r="AP60" i="16" s="1"/>
  <c r="K60" i="16"/>
  <c r="AD60" i="16" s="1"/>
  <c r="AW60" i="16" s="1"/>
  <c r="M60" i="16"/>
  <c r="AF60" i="16" s="1"/>
  <c r="AY60" i="16" s="1"/>
  <c r="O60" i="16"/>
  <c r="AH60" i="16" s="1"/>
  <c r="BA60" i="16" s="1"/>
  <c r="Q60" i="16"/>
  <c r="AJ60" i="16" s="1"/>
  <c r="BC60" i="16" s="1"/>
  <c r="P60" i="16"/>
  <c r="AI60" i="16" s="1"/>
  <c r="BB60" i="16" s="1"/>
  <c r="J60" i="16"/>
  <c r="AC60" i="16" s="1"/>
  <c r="AV60" i="16" s="1"/>
  <c r="N60" i="16"/>
  <c r="AG60" i="16" s="1"/>
  <c r="AZ60" i="16" s="1"/>
  <c r="H60" i="16"/>
  <c r="AA60" i="16" s="1"/>
  <c r="AT60" i="16" s="1"/>
  <c r="L60" i="16"/>
  <c r="AE60" i="16" s="1"/>
  <c r="AX60" i="16" s="1"/>
  <c r="F60" i="16"/>
  <c r="Y60" i="16" s="1"/>
  <c r="AR60" i="16" s="1"/>
  <c r="K64" i="10"/>
  <c r="AD64" i="10" s="1"/>
  <c r="AW64" i="10" s="1"/>
  <c r="E63" i="10"/>
  <c r="X63" i="10" s="1"/>
  <c r="AQ63" i="10" s="1"/>
  <c r="G59" i="16"/>
  <c r="Z59" i="16" s="1"/>
  <c r="AS59" i="16" s="1"/>
  <c r="E59" i="16"/>
  <c r="X59" i="16" s="1"/>
  <c r="AQ59" i="16" s="1"/>
  <c r="I59" i="16"/>
  <c r="AB59" i="16" s="1"/>
  <c r="AU59" i="16" s="1"/>
  <c r="K59" i="16"/>
  <c r="AD59" i="16" s="1"/>
  <c r="AW59" i="16" s="1"/>
  <c r="D59" i="16"/>
  <c r="W59" i="16" s="1"/>
  <c r="AP59" i="16" s="1"/>
  <c r="M59" i="16"/>
  <c r="AF59" i="16" s="1"/>
  <c r="AY59" i="16" s="1"/>
  <c r="O59" i="16"/>
  <c r="AH59" i="16" s="1"/>
  <c r="BA59" i="16" s="1"/>
  <c r="Q59" i="16"/>
  <c r="AJ59" i="16" s="1"/>
  <c r="BC59" i="16" s="1"/>
  <c r="N59" i="16"/>
  <c r="AG59" i="16" s="1"/>
  <c r="AZ59" i="16" s="1"/>
  <c r="J59" i="16"/>
  <c r="AC59" i="16" s="1"/>
  <c r="AV59" i="16" s="1"/>
  <c r="F59" i="16"/>
  <c r="Y59" i="16" s="1"/>
  <c r="AR59" i="16" s="1"/>
  <c r="H59" i="16"/>
  <c r="AA59" i="16" s="1"/>
  <c r="AT59" i="16" s="1"/>
  <c r="L59" i="16"/>
  <c r="AE59" i="16" s="1"/>
  <c r="AX59" i="16" s="1"/>
  <c r="P59" i="16"/>
  <c r="AI59" i="16" s="1"/>
  <c r="BB59" i="16" s="1"/>
  <c r="K62" i="10"/>
  <c r="AD62" i="10" s="1"/>
  <c r="AW62" i="10" s="1"/>
  <c r="BC49" i="15"/>
  <c r="AZ19" i="15"/>
  <c r="AY20" i="15"/>
  <c r="AT77" i="10"/>
  <c r="AS77" i="10"/>
  <c r="AQ77" i="10"/>
  <c r="AR77" i="10"/>
  <c r="AV82" i="10"/>
  <c r="AV78" i="10"/>
  <c r="AV83" i="10"/>
  <c r="AU77" i="10"/>
  <c r="AV81" i="10"/>
  <c r="AV80" i="10"/>
  <c r="AW77" i="10"/>
  <c r="AP77" i="10"/>
  <c r="AS78" i="10"/>
  <c r="AV79" i="10"/>
  <c r="L58" i="10"/>
  <c r="AE58" i="10" s="1"/>
  <c r="AX58" i="10" s="1"/>
  <c r="L62" i="10"/>
  <c r="AE62" i="10" s="1"/>
  <c r="AX62" i="10" s="1"/>
  <c r="L63" i="10"/>
  <c r="AE63" i="10" s="1"/>
  <c r="AX63" i="10" s="1"/>
  <c r="L61" i="10"/>
  <c r="AE61" i="10" s="1"/>
  <c r="AX61" i="10" s="1"/>
  <c r="L59" i="10"/>
  <c r="AE59" i="10" s="1"/>
  <c r="AX59" i="10" s="1"/>
  <c r="L60" i="10"/>
  <c r="AE60" i="10" s="1"/>
  <c r="AX60" i="10" s="1"/>
  <c r="L64" i="10"/>
  <c r="AE64" i="10" s="1"/>
  <c r="AX64" i="10" s="1"/>
  <c r="N32" i="10"/>
  <c r="M34" i="10"/>
  <c r="M37" i="10" s="1"/>
  <c r="M39" i="10" s="1"/>
  <c r="AW101" i="18" l="1" a="1"/>
  <c r="AW101" i="18" s="1"/>
  <c r="AU98" i="18" a="1"/>
  <c r="AU98" i="18" s="1"/>
  <c r="AY79" i="17"/>
  <c r="AR78" i="17"/>
  <c r="BC83" i="17"/>
  <c r="AS82" i="17"/>
  <c r="AY82" i="17"/>
  <c r="AY80" i="17"/>
  <c r="AU78" i="17"/>
  <c r="AP82" i="10"/>
  <c r="AT81" i="10"/>
  <c r="AS81" i="10"/>
  <c r="AP83" i="10"/>
  <c r="AS81" i="17"/>
  <c r="BA83" i="17"/>
  <c r="AY78" i="17"/>
  <c r="AX83" i="17"/>
  <c r="AW80" i="17"/>
  <c r="AX79" i="17"/>
  <c r="AV81" i="17"/>
  <c r="AX82" i="17"/>
  <c r="AW83" i="17"/>
  <c r="AX80" i="17"/>
  <c r="AW79" i="17"/>
  <c r="AQ78" i="17"/>
  <c r="AS83" i="17"/>
  <c r="AU80" i="17"/>
  <c r="AU79" i="17"/>
  <c r="AV82" i="17"/>
  <c r="AZ82" i="17"/>
  <c r="AU83" i="17"/>
  <c r="AT80" i="17"/>
  <c r="AR79" i="10"/>
  <c r="AU81" i="17"/>
  <c r="AW82" i="17"/>
  <c r="AV83" i="17"/>
  <c r="AS80" i="17"/>
  <c r="AV79" i="17"/>
  <c r="BC80" i="17"/>
  <c r="AW79" i="10"/>
  <c r="AP79" i="10"/>
  <c r="BA79" i="17"/>
  <c r="BC78" i="17"/>
  <c r="AT83" i="17"/>
  <c r="AV80" i="17"/>
  <c r="AT80" i="10"/>
  <c r="BA78" i="17"/>
  <c r="AQ83" i="17"/>
  <c r="AQ80" i="17"/>
  <c r="AX98" i="18" a="1"/>
  <c r="AX98" i="18" s="1"/>
  <c r="L41" i="18" s="1"/>
  <c r="AR82" i="17"/>
  <c r="AR83" i="17"/>
  <c r="AR80" i="17"/>
  <c r="AR79" i="17"/>
  <c r="AQ79" i="17"/>
  <c r="AZ78" i="17"/>
  <c r="AW81" i="17"/>
  <c r="AU80" i="10"/>
  <c r="AT78" i="10"/>
  <c r="AR82" i="10"/>
  <c r="AP81" i="10"/>
  <c r="AQ79" i="10"/>
  <c r="AQ83" i="10"/>
  <c r="AS78" i="17"/>
  <c r="BA80" i="17"/>
  <c r="AP80" i="10"/>
  <c r="BA81" i="17"/>
  <c r="AY81" i="17"/>
  <c r="AW78" i="17"/>
  <c r="AS83" i="10"/>
  <c r="AS82" i="10"/>
  <c r="BC81" i="17"/>
  <c r="AZ81" i="17"/>
  <c r="AQ82" i="17"/>
  <c r="AP78" i="17"/>
  <c r="AS79" i="10"/>
  <c r="AZ83" i="17"/>
  <c r="AP80" i="17"/>
  <c r="AZ79" i="17"/>
  <c r="AT78" i="17"/>
  <c r="AU82" i="17"/>
  <c r="AU82" i="10"/>
  <c r="AR83" i="10"/>
  <c r="AZ80" i="17"/>
  <c r="AP79" i="17"/>
  <c r="AU101" i="18" a="1"/>
  <c r="AU101" i="18" s="1"/>
  <c r="AV78" i="17"/>
  <c r="BE97" i="18" a="1"/>
  <c r="BE97" i="18" s="1"/>
  <c r="AZ97" i="18" a="1"/>
  <c r="AZ97" i="18" s="1"/>
  <c r="N40" i="18" s="1"/>
  <c r="BB102" i="18" a="1"/>
  <c r="BB102" i="18" s="1"/>
  <c r="AR99" i="18" a="1"/>
  <c r="AR99" i="18" s="1"/>
  <c r="AS97" i="18" a="1"/>
  <c r="AS97" i="18" s="1"/>
  <c r="AW97" i="18" a="1"/>
  <c r="AW97" i="18" s="1"/>
  <c r="K40" i="18" s="1"/>
  <c r="BD103" i="18" a="1"/>
  <c r="BD103" i="18" s="1"/>
  <c r="AQ103" i="18" a="1"/>
  <c r="AQ103" i="18" s="1"/>
  <c r="AQ102" i="18" a="1"/>
  <c r="AQ102" i="18" s="1"/>
  <c r="BC101" i="18" a="1"/>
  <c r="BC101" i="18" s="1"/>
  <c r="Q44" i="18" s="1"/>
  <c r="AT97" i="18" a="1"/>
  <c r="AT97" i="18" s="1"/>
  <c r="H40" i="18" s="1"/>
  <c r="AP97" i="18" a="1"/>
  <c r="AP97" i="18" s="1"/>
  <c r="D40" i="18" s="1"/>
  <c r="AQ100" i="18" a="1"/>
  <c r="AQ100" i="18" s="1"/>
  <c r="E43" i="18" s="1"/>
  <c r="BB101" i="18" a="1"/>
  <c r="BB101" i="18" s="1"/>
  <c r="AQ101" i="18" a="1"/>
  <c r="AQ101" i="18" s="1"/>
  <c r="E44" i="18" s="1"/>
  <c r="AQ98" i="18" a="1"/>
  <c r="AQ98" i="18" s="1"/>
  <c r="AR103" i="18" a="1"/>
  <c r="AR103" i="18" s="1"/>
  <c r="AR102" i="18" a="1"/>
  <c r="AR102" i="18" s="1"/>
  <c r="BC99" i="18" a="1"/>
  <c r="BC99" i="18" s="1"/>
  <c r="Q42" i="18" s="1"/>
  <c r="AR100" i="18" a="1"/>
  <c r="AR100" i="18" s="1"/>
  <c r="AR101" i="18" a="1"/>
  <c r="AR101" i="18" s="1"/>
  <c r="BA100" i="18" a="1"/>
  <c r="BA100" i="18" s="1"/>
  <c r="O43" i="18" s="1"/>
  <c r="BA97" i="18" a="1"/>
  <c r="BA97" i="18" s="1"/>
  <c r="BA101" i="18" a="1"/>
  <c r="BA101" i="18" s="1"/>
  <c r="AV97" i="18" a="1"/>
  <c r="AV97" i="18" s="1"/>
  <c r="J40" i="18" s="1"/>
  <c r="BB97" i="18" a="1"/>
  <c r="BB97" i="18" s="1"/>
  <c r="P40" i="18" s="1"/>
  <c r="BC102" i="18" a="1"/>
  <c r="BC102" i="18" s="1"/>
  <c r="BA98" i="18" a="1"/>
  <c r="BA98" i="18" s="1"/>
  <c r="O41" i="18" s="1"/>
  <c r="AR98" i="18" a="1"/>
  <c r="AR98" i="18" s="1"/>
  <c r="F41" i="18" s="1"/>
  <c r="AU97" i="18" a="1"/>
  <c r="AU97" i="18" s="1"/>
  <c r="I40" i="18" s="1"/>
  <c r="BC97" i="18" a="1"/>
  <c r="BC97" i="18" s="1"/>
  <c r="Q40" i="18" s="1"/>
  <c r="BB100" i="18" a="1"/>
  <c r="BB100" i="18" s="1"/>
  <c r="P43" i="18" s="1"/>
  <c r="AY97" i="18" a="1"/>
  <c r="AY97" i="18" s="1"/>
  <c r="M40" i="18" s="1"/>
  <c r="BB98" i="18" a="1"/>
  <c r="BB98" i="18" s="1"/>
  <c r="P41" i="18" s="1"/>
  <c r="BD102" i="18" a="1"/>
  <c r="BD102" i="18" s="1"/>
  <c r="R45" i="18" s="1"/>
  <c r="AX97" i="18" a="1"/>
  <c r="AX97" i="18" s="1"/>
  <c r="L40" i="18" s="1"/>
  <c r="BA103" i="18" a="1"/>
  <c r="BA103" i="18" s="1"/>
  <c r="AQ97" i="18" a="1"/>
  <c r="AQ97" i="18" s="1"/>
  <c r="E40" i="18" s="1"/>
  <c r="BD97" i="18" a="1"/>
  <c r="BD97" i="18" s="1"/>
  <c r="R40" i="18" s="1"/>
  <c r="BD99" i="18" a="1"/>
  <c r="BD99" i="18" s="1"/>
  <c r="BA99" i="18" a="1"/>
  <c r="BA99" i="18" s="1"/>
  <c r="BC100" i="18" a="1"/>
  <c r="BC100" i="18" s="1"/>
  <c r="Q43" i="18" s="1"/>
  <c r="BB103" i="18" a="1"/>
  <c r="BB103" i="18" s="1"/>
  <c r="P46" i="18" s="1"/>
  <c r="BC98" i="18" a="1"/>
  <c r="BC98" i="18" s="1"/>
  <c r="Q41" i="18" s="1"/>
  <c r="AR97" i="18" a="1"/>
  <c r="AR97" i="18" s="1"/>
  <c r="F40" i="18" s="1"/>
  <c r="BA102" i="18" a="1"/>
  <c r="BA102" i="18" s="1"/>
  <c r="O45" i="18" s="1"/>
  <c r="AQ99" i="18" a="1"/>
  <c r="AQ99" i="18" s="1"/>
  <c r="E42" i="18" s="1"/>
  <c r="BC103" i="18" a="1"/>
  <c r="BC103" i="18" s="1"/>
  <c r="Q46" i="18" s="1"/>
  <c r="BD100" i="18" a="1"/>
  <c r="BD100" i="18" s="1"/>
  <c r="R43" i="18" s="1"/>
  <c r="BD98" i="18" a="1"/>
  <c r="BD98" i="18" s="1"/>
  <c r="BB99" i="18" a="1"/>
  <c r="BB99" i="18" s="1"/>
  <c r="P42" i="18" s="1"/>
  <c r="BD101" i="18" a="1"/>
  <c r="BD101" i="18" s="1"/>
  <c r="R44" i="18" s="1"/>
  <c r="AS100" i="18" a="1"/>
  <c r="AS100" i="18" s="1"/>
  <c r="G43" i="18" s="1"/>
  <c r="BF77" i="18"/>
  <c r="BF97" i="18" a="1"/>
  <c r="BF97" i="18" s="1"/>
  <c r="T40" i="18" s="1"/>
  <c r="BF100" i="18" a="1"/>
  <c r="BF100" i="18" s="1"/>
  <c r="T43" i="18" s="1"/>
  <c r="BF103" i="18" a="1"/>
  <c r="BF103" i="18" s="1"/>
  <c r="T46" i="18" s="1"/>
  <c r="L44" i="18"/>
  <c r="K41" i="18"/>
  <c r="G46" i="18"/>
  <c r="M42" i="18"/>
  <c r="S41" i="18"/>
  <c r="H46" i="18"/>
  <c r="BF98" i="18" a="1"/>
  <c r="BF98" i="18" s="1"/>
  <c r="T41" i="18" s="1"/>
  <c r="S43" i="18"/>
  <c r="D45" i="18"/>
  <c r="D44" i="18"/>
  <c r="M43" i="18"/>
  <c r="BF101" i="18" a="1"/>
  <c r="BF101" i="18" s="1"/>
  <c r="T44" i="18" s="1"/>
  <c r="BF102" i="18" a="1"/>
  <c r="BF102" i="18" s="1"/>
  <c r="T45" i="18" s="1"/>
  <c r="I46" i="18"/>
  <c r="BF99" i="18" a="1"/>
  <c r="BF99" i="18" s="1"/>
  <c r="T42" i="18" s="1"/>
  <c r="D43" i="18"/>
  <c r="M45" i="18"/>
  <c r="D46" i="18"/>
  <c r="BE77" i="18"/>
  <c r="R61" i="17"/>
  <c r="AK61" i="17" s="1"/>
  <c r="BD61" i="17" s="1"/>
  <c r="R59" i="17"/>
  <c r="AK59" i="17" s="1"/>
  <c r="BD59" i="17" s="1"/>
  <c r="R60" i="17"/>
  <c r="AK60" i="17" s="1"/>
  <c r="BD60" i="17" s="1"/>
  <c r="R58" i="17"/>
  <c r="AK58" i="17" s="1"/>
  <c r="BD58" i="17" s="1"/>
  <c r="R64" i="17"/>
  <c r="AK64" i="17" s="1"/>
  <c r="BD64" i="17" s="1"/>
  <c r="R62" i="17"/>
  <c r="AK62" i="17" s="1"/>
  <c r="BD62" i="17" s="1"/>
  <c r="R63" i="17"/>
  <c r="AK63" i="17" s="1"/>
  <c r="BD63" i="17" s="1"/>
  <c r="G40" i="18"/>
  <c r="O40" i="18"/>
  <c r="S40" i="18"/>
  <c r="BB86" i="15"/>
  <c r="R62" i="16"/>
  <c r="AK62" i="16" s="1"/>
  <c r="BD62" i="16" s="1"/>
  <c r="BD81" i="16" s="1"/>
  <c r="R59" i="16"/>
  <c r="AK59" i="16" s="1"/>
  <c r="BD59" i="16" s="1"/>
  <c r="R60" i="16"/>
  <c r="AK60" i="16" s="1"/>
  <c r="BD60" i="16" s="1"/>
  <c r="BD79" i="16" s="1"/>
  <c r="BF68" i="15"/>
  <c r="T32" i="17"/>
  <c r="T34" i="17" s="1"/>
  <c r="T37" i="17" s="1"/>
  <c r="T39" i="17" s="1"/>
  <c r="S34" i="17"/>
  <c r="S37" i="17" s="1"/>
  <c r="S39" i="17" s="1"/>
  <c r="BH63" i="15"/>
  <c r="BG66" i="15"/>
  <c r="BG67" i="15"/>
  <c r="BG69" i="15"/>
  <c r="BC82" i="15"/>
  <c r="BC83" i="15"/>
  <c r="BC84" i="15"/>
  <c r="BC85" i="15"/>
  <c r="BE65" i="15"/>
  <c r="BE72" i="15" s="1"/>
  <c r="BD73" i="15"/>
  <c r="BD70" i="15"/>
  <c r="BD71" i="15"/>
  <c r="AT81" i="17"/>
  <c r="BB81" i="17"/>
  <c r="AP83" i="17"/>
  <c r="AP82" i="17"/>
  <c r="BC82" i="17"/>
  <c r="AX81" i="17"/>
  <c r="BB79" i="17"/>
  <c r="AP81" i="17"/>
  <c r="AY83" i="17"/>
  <c r="BC79" i="17"/>
  <c r="BB82" i="17"/>
  <c r="R64" i="16"/>
  <c r="AK64" i="16" s="1"/>
  <c r="BD64" i="16" s="1"/>
  <c r="AR81" i="17"/>
  <c r="AT82" i="17"/>
  <c r="AT79" i="17"/>
  <c r="R61" i="16"/>
  <c r="AK61" i="16" s="1"/>
  <c r="BD61" i="16" s="1"/>
  <c r="R63" i="16"/>
  <c r="AK63" i="16" s="1"/>
  <c r="BD63" i="16" s="1"/>
  <c r="AQ81" i="17"/>
  <c r="AT82" i="10"/>
  <c r="AR80" i="10"/>
  <c r="AT79" i="10"/>
  <c r="AT83" i="10"/>
  <c r="AQ80" i="10"/>
  <c r="AR81" i="10"/>
  <c r="AU79" i="10"/>
  <c r="AU83" i="10"/>
  <c r="AQ81" i="10"/>
  <c r="AU81" i="10"/>
  <c r="AS80" i="10"/>
  <c r="AW80" i="10"/>
  <c r="AR78" i="10"/>
  <c r="AW81" i="10"/>
  <c r="AQ78" i="10"/>
  <c r="AW82" i="10"/>
  <c r="AP78" i="10"/>
  <c r="AW78" i="10"/>
  <c r="AQ82" i="10"/>
  <c r="AW83" i="10"/>
  <c r="AU78" i="10"/>
  <c r="AT83" i="18"/>
  <c r="AT79" i="18"/>
  <c r="H42" i="18"/>
  <c r="AU78" i="18"/>
  <c r="I41" i="18"/>
  <c r="AW82" i="18"/>
  <c r="K45" i="18"/>
  <c r="AX81" i="18"/>
  <c r="BE83" i="18"/>
  <c r="S46" i="18"/>
  <c r="AY79" i="18"/>
  <c r="BE78" i="18"/>
  <c r="AX80" i="18"/>
  <c r="L43" i="18"/>
  <c r="L45" i="18"/>
  <c r="AX82" i="18"/>
  <c r="K44" i="18"/>
  <c r="AW81" i="18"/>
  <c r="AV83" i="18"/>
  <c r="J46" i="18"/>
  <c r="BE79" i="18"/>
  <c r="S42" i="18"/>
  <c r="AZ78" i="18"/>
  <c r="N41" i="18"/>
  <c r="AW80" i="18"/>
  <c r="K43" i="18"/>
  <c r="AS82" i="18"/>
  <c r="G45" i="18"/>
  <c r="AT81" i="18"/>
  <c r="H44" i="18"/>
  <c r="AY83" i="18"/>
  <c r="M46" i="18"/>
  <c r="AU79" i="18"/>
  <c r="I42" i="18"/>
  <c r="BF78" i="18"/>
  <c r="AT80" i="18"/>
  <c r="H43" i="18"/>
  <c r="AT82" i="18"/>
  <c r="H45" i="18"/>
  <c r="AS81" i="18"/>
  <c r="G44" i="18"/>
  <c r="AZ83" i="18"/>
  <c r="N46" i="18"/>
  <c r="AZ79" i="18"/>
  <c r="N42" i="18"/>
  <c r="AV78" i="18"/>
  <c r="J41" i="18"/>
  <c r="AS80" i="18"/>
  <c r="AV82" i="18"/>
  <c r="J45" i="18"/>
  <c r="AU81" i="18"/>
  <c r="I44" i="18"/>
  <c r="AU83" i="18"/>
  <c r="AV79" i="18"/>
  <c r="J42" i="18"/>
  <c r="AY78" i="18"/>
  <c r="M41" i="18"/>
  <c r="BF80" i="18"/>
  <c r="BE82" i="18"/>
  <c r="S45" i="18"/>
  <c r="AY81" i="18"/>
  <c r="M44" i="18"/>
  <c r="AP83" i="18"/>
  <c r="AP79" i="18"/>
  <c r="D42" i="18"/>
  <c r="AP78" i="18"/>
  <c r="D41" i="18"/>
  <c r="BE80" i="18"/>
  <c r="AZ82" i="18"/>
  <c r="N45" i="18"/>
  <c r="AV81" i="18"/>
  <c r="J44" i="18"/>
  <c r="BF83" i="18"/>
  <c r="BF79" i="18"/>
  <c r="BC78" i="18"/>
  <c r="AY80" i="18"/>
  <c r="AP82" i="18"/>
  <c r="BE81" i="18"/>
  <c r="S44" i="18"/>
  <c r="BA83" i="18"/>
  <c r="O46" i="18"/>
  <c r="BA79" i="18"/>
  <c r="O42" i="18"/>
  <c r="BD78" i="18"/>
  <c r="R41" i="18"/>
  <c r="AV80" i="18"/>
  <c r="J43" i="18"/>
  <c r="AU82" i="18"/>
  <c r="I45" i="18"/>
  <c r="AP81" i="18"/>
  <c r="AQ83" i="18"/>
  <c r="E46" i="18"/>
  <c r="AQ79" i="18"/>
  <c r="BA78" i="18"/>
  <c r="AP80" i="18"/>
  <c r="BF82" i="18"/>
  <c r="AZ81" i="18"/>
  <c r="N44" i="18"/>
  <c r="BD83" i="18"/>
  <c r="R46" i="18"/>
  <c r="BD79" i="18"/>
  <c r="R42" i="18"/>
  <c r="AQ78" i="18"/>
  <c r="E41" i="18"/>
  <c r="AU80" i="18"/>
  <c r="I43" i="18"/>
  <c r="AY82" i="18"/>
  <c r="BF81" i="18"/>
  <c r="BC83" i="18"/>
  <c r="BC79" i="18"/>
  <c r="BB78" i="18"/>
  <c r="AZ80" i="18"/>
  <c r="N43" i="18"/>
  <c r="BD82" i="18"/>
  <c r="BD81" i="18"/>
  <c r="AR83" i="18"/>
  <c r="F46" i="18"/>
  <c r="AR79" i="18"/>
  <c r="F42" i="18"/>
  <c r="AR78" i="18"/>
  <c r="BC80" i="18"/>
  <c r="BC82" i="18"/>
  <c r="Q45" i="18"/>
  <c r="BA81" i="18"/>
  <c r="O44" i="18"/>
  <c r="BB83" i="18"/>
  <c r="BB79" i="18"/>
  <c r="BA80" i="18"/>
  <c r="AQ82" i="18"/>
  <c r="E45" i="18"/>
  <c r="AQ81" i="18"/>
  <c r="BD80" i="18"/>
  <c r="BA82" i="18"/>
  <c r="BC81" i="18"/>
  <c r="AQ80" i="18"/>
  <c r="BB82" i="18"/>
  <c r="P45" i="18"/>
  <c r="BB81" i="18"/>
  <c r="P44" i="18"/>
  <c r="AX78" i="18"/>
  <c r="BB80" i="18"/>
  <c r="AR82" i="18"/>
  <c r="F45" i="18"/>
  <c r="AR81" i="18"/>
  <c r="F44" i="18"/>
  <c r="K46" i="18"/>
  <c r="AW83" i="18"/>
  <c r="AW79" i="18"/>
  <c r="K42" i="18"/>
  <c r="AW78" i="18"/>
  <c r="AR80" i="18"/>
  <c r="F43" i="18"/>
  <c r="L46" i="18"/>
  <c r="AX83" i="18"/>
  <c r="AX79" i="18"/>
  <c r="L42" i="18"/>
  <c r="AT78" i="18"/>
  <c r="H41" i="18"/>
  <c r="AS83" i="18"/>
  <c r="AS79" i="18"/>
  <c r="G42" i="18"/>
  <c r="AS78" i="18"/>
  <c r="G41" i="18"/>
  <c r="BD77" i="16"/>
  <c r="T32" i="16"/>
  <c r="T34" i="16" s="1"/>
  <c r="T37" i="16" s="1"/>
  <c r="T39" i="16" s="1"/>
  <c r="S34" i="16"/>
  <c r="S37" i="16" s="1"/>
  <c r="S39" i="16" s="1"/>
  <c r="BB83" i="16"/>
  <c r="AZ78" i="16"/>
  <c r="BB79" i="16"/>
  <c r="BA80" i="16"/>
  <c r="BA82" i="16"/>
  <c r="BB81" i="16"/>
  <c r="AV83" i="16"/>
  <c r="AY80" i="16"/>
  <c r="AY82" i="16"/>
  <c r="AX81" i="16"/>
  <c r="AX83" i="16"/>
  <c r="BC78" i="16"/>
  <c r="BC79" i="16"/>
  <c r="AW80" i="16"/>
  <c r="AP82" i="16"/>
  <c r="AT81" i="16"/>
  <c r="BA78" i="16"/>
  <c r="BA79" i="16"/>
  <c r="AP80" i="16"/>
  <c r="AW82" i="16"/>
  <c r="AR81" i="16"/>
  <c r="AT83" i="16"/>
  <c r="BC80" i="16"/>
  <c r="AY78" i="16"/>
  <c r="AY79" i="16"/>
  <c r="AU80" i="16"/>
  <c r="AU82" i="16"/>
  <c r="AR83" i="16"/>
  <c r="BC82" i="16"/>
  <c r="AP78" i="16"/>
  <c r="AW79" i="16"/>
  <c r="AS80" i="16"/>
  <c r="AQ82" i="16"/>
  <c r="BC81" i="16"/>
  <c r="AZ83" i="16"/>
  <c r="AW78" i="16"/>
  <c r="AP79" i="16"/>
  <c r="AQ80" i="16"/>
  <c r="AS82" i="16"/>
  <c r="BA81" i="16"/>
  <c r="AV78" i="16"/>
  <c r="AU78" i="16"/>
  <c r="AU79" i="16"/>
  <c r="AY81" i="16"/>
  <c r="BC83" i="16"/>
  <c r="AW81" i="16"/>
  <c r="BA83" i="16"/>
  <c r="AS78" i="16"/>
  <c r="AQ79" i="16"/>
  <c r="AP81" i="16"/>
  <c r="AY83" i="16"/>
  <c r="AZ81" i="16"/>
  <c r="AS79" i="16"/>
  <c r="AR80" i="16"/>
  <c r="AZ82" i="16"/>
  <c r="AU81" i="16"/>
  <c r="AP83" i="16"/>
  <c r="AV82" i="16"/>
  <c r="AS81" i="16"/>
  <c r="AW83" i="16"/>
  <c r="AX80" i="16"/>
  <c r="AQ81" i="16"/>
  <c r="AU83" i="16"/>
  <c r="BB78" i="16"/>
  <c r="AR79" i="16"/>
  <c r="BB82" i="16"/>
  <c r="AQ83" i="16"/>
  <c r="AQ78" i="16"/>
  <c r="AZ80" i="16"/>
  <c r="AX82" i="16"/>
  <c r="AS83" i="16"/>
  <c r="AX78" i="16"/>
  <c r="AV80" i="16"/>
  <c r="AT82" i="16"/>
  <c r="AT78" i="16"/>
  <c r="AT79" i="16"/>
  <c r="BB80" i="16"/>
  <c r="AR82" i="16"/>
  <c r="AX79" i="16"/>
  <c r="AR78" i="16"/>
  <c r="AT80" i="16"/>
  <c r="AV81" i="16"/>
  <c r="AV79" i="16"/>
  <c r="AZ79" i="16"/>
  <c r="BD49" i="15"/>
  <c r="BA19" i="15"/>
  <c r="AZ20" i="15"/>
  <c r="AX83" i="10"/>
  <c r="AX80" i="10"/>
  <c r="AX78" i="10"/>
  <c r="AX77" i="10"/>
  <c r="AX82" i="10"/>
  <c r="AX79" i="10"/>
  <c r="AX81" i="10"/>
  <c r="M58" i="10"/>
  <c r="AF58" i="10" s="1"/>
  <c r="AY58" i="10" s="1"/>
  <c r="M62" i="10"/>
  <c r="AF62" i="10" s="1"/>
  <c r="AY62" i="10" s="1"/>
  <c r="M63" i="10"/>
  <c r="AF63" i="10" s="1"/>
  <c r="AY63" i="10" s="1"/>
  <c r="M61" i="10"/>
  <c r="AF61" i="10" s="1"/>
  <c r="AY61" i="10" s="1"/>
  <c r="M60" i="10"/>
  <c r="AF60" i="10" s="1"/>
  <c r="AY60" i="10" s="1"/>
  <c r="M64" i="10"/>
  <c r="AF64" i="10" s="1"/>
  <c r="AY64" i="10" s="1"/>
  <c r="M59" i="10"/>
  <c r="AF59" i="10" s="1"/>
  <c r="AY59" i="10" s="1"/>
  <c r="N34" i="10"/>
  <c r="N37" i="10" s="1"/>
  <c r="N39" i="10" s="1"/>
  <c r="O32" i="10"/>
  <c r="BD83" i="16" l="1"/>
  <c r="BD82" i="17"/>
  <c r="BD81" i="17"/>
  <c r="BD78" i="17"/>
  <c r="BD78" i="16"/>
  <c r="BD79" i="17"/>
  <c r="BD82" i="16"/>
  <c r="BD80" i="16"/>
  <c r="S61" i="17"/>
  <c r="AL61" i="17" s="1"/>
  <c r="BE61" i="17" s="1"/>
  <c r="S60" i="17"/>
  <c r="AL60" i="17" s="1"/>
  <c r="BE60" i="17" s="1"/>
  <c r="S59" i="17"/>
  <c r="AL59" i="17" s="1"/>
  <c r="BE59" i="17" s="1"/>
  <c r="S58" i="17"/>
  <c r="AL58" i="17" s="1"/>
  <c r="BE58" i="17" s="1"/>
  <c r="S64" i="17"/>
  <c r="AL64" i="17" s="1"/>
  <c r="BE64" i="17" s="1"/>
  <c r="S63" i="17"/>
  <c r="AL63" i="17" s="1"/>
  <c r="BE63" i="17" s="1"/>
  <c r="BE102" i="17" s="1" a="1"/>
  <c r="BE102" i="17" s="1"/>
  <c r="S62" i="17"/>
  <c r="AL62" i="17" s="1"/>
  <c r="BE62" i="17" s="1"/>
  <c r="T61" i="17"/>
  <c r="AM61" i="17" s="1"/>
  <c r="BF61" i="17" s="1"/>
  <c r="T60" i="17"/>
  <c r="AM60" i="17" s="1"/>
  <c r="BF60" i="17" s="1"/>
  <c r="T59" i="17"/>
  <c r="AM59" i="17" s="1"/>
  <c r="BF59" i="17" s="1"/>
  <c r="T58" i="17"/>
  <c r="AM58" i="17" s="1"/>
  <c r="BF58" i="17" s="1"/>
  <c r="T64" i="17"/>
  <c r="AM64" i="17" s="1"/>
  <c r="BF64" i="17" s="1"/>
  <c r="T63" i="17"/>
  <c r="AM63" i="17" s="1"/>
  <c r="BF63" i="17" s="1"/>
  <c r="T62" i="17"/>
  <c r="AM62" i="17" s="1"/>
  <c r="BF62" i="17" s="1"/>
  <c r="BD83" i="17"/>
  <c r="BG68" i="15"/>
  <c r="BD77" i="17"/>
  <c r="BD80" i="17"/>
  <c r="BI63" i="15"/>
  <c r="BH66" i="15"/>
  <c r="BH69" i="15"/>
  <c r="BH67" i="15"/>
  <c r="BD82" i="15"/>
  <c r="BD83" i="15"/>
  <c r="BD84" i="15"/>
  <c r="BD85" i="15"/>
  <c r="BF65" i="15"/>
  <c r="BF72" i="15" s="1"/>
  <c r="BE73" i="15"/>
  <c r="BE71" i="15"/>
  <c r="BE70" i="15"/>
  <c r="BC86" i="15"/>
  <c r="S58" i="16"/>
  <c r="AL58" i="16" s="1"/>
  <c r="BE58" i="16" s="1"/>
  <c r="BD100" i="16" s="1" a="1"/>
  <c r="BD100" i="16" s="1"/>
  <c r="S62" i="16"/>
  <c r="AL62" i="16" s="1"/>
  <c r="BE62" i="16" s="1"/>
  <c r="S63" i="16"/>
  <c r="AL63" i="16" s="1"/>
  <c r="BE63" i="16" s="1"/>
  <c r="S64" i="16"/>
  <c r="AL64" i="16" s="1"/>
  <c r="BE64" i="16" s="1"/>
  <c r="S59" i="16"/>
  <c r="AL59" i="16" s="1"/>
  <c r="BE59" i="16" s="1"/>
  <c r="S60" i="16"/>
  <c r="AL60" i="16" s="1"/>
  <c r="BE60" i="16" s="1"/>
  <c r="S61" i="16"/>
  <c r="AL61" i="16" s="1"/>
  <c r="BE61" i="16" s="1"/>
  <c r="T58" i="16"/>
  <c r="AM58" i="16" s="1"/>
  <c r="BF58" i="16" s="1"/>
  <c r="T59" i="16"/>
  <c r="AM59" i="16" s="1"/>
  <c r="BF59" i="16" s="1"/>
  <c r="T60" i="16"/>
  <c r="AM60" i="16" s="1"/>
  <c r="BF60" i="16" s="1"/>
  <c r="T62" i="16"/>
  <c r="AM62" i="16" s="1"/>
  <c r="BF62" i="16" s="1"/>
  <c r="T61" i="16"/>
  <c r="AM61" i="16" s="1"/>
  <c r="BF61" i="16" s="1"/>
  <c r="T64" i="16"/>
  <c r="AM64" i="16" s="1"/>
  <c r="BF64" i="16" s="1"/>
  <c r="T63" i="16"/>
  <c r="AM63" i="16" s="1"/>
  <c r="BF63" i="16" s="1"/>
  <c r="BE49" i="15"/>
  <c r="BB19" i="15"/>
  <c r="BA20" i="15"/>
  <c r="AY83" i="10"/>
  <c r="AY82" i="10"/>
  <c r="AY79" i="10"/>
  <c r="AY81" i="10"/>
  <c r="AY78" i="10"/>
  <c r="AY80" i="10"/>
  <c r="AY77" i="10"/>
  <c r="N58" i="10"/>
  <c r="AG58" i="10" s="1"/>
  <c r="AZ58" i="10" s="1"/>
  <c r="N62" i="10"/>
  <c r="AG62" i="10" s="1"/>
  <c r="AZ62" i="10" s="1"/>
  <c r="N59" i="10"/>
  <c r="AG59" i="10" s="1"/>
  <c r="AZ59" i="10" s="1"/>
  <c r="N61" i="10"/>
  <c r="AG61" i="10" s="1"/>
  <c r="AZ61" i="10" s="1"/>
  <c r="N64" i="10"/>
  <c r="AG64" i="10" s="1"/>
  <c r="AZ64" i="10" s="1"/>
  <c r="N63" i="10"/>
  <c r="AG63" i="10" s="1"/>
  <c r="AZ63" i="10" s="1"/>
  <c r="N60" i="10"/>
  <c r="AG60" i="10" s="1"/>
  <c r="AZ60" i="10" s="1"/>
  <c r="P32" i="10"/>
  <c r="O34" i="10"/>
  <c r="O37" i="10" s="1"/>
  <c r="O39" i="10" s="1"/>
  <c r="BE98" i="17" l="1" a="1"/>
  <c r="BE98" i="17" s="1"/>
  <c r="BE100" i="16" a="1"/>
  <c r="BE100" i="16" s="1"/>
  <c r="BE99" i="16" a="1"/>
  <c r="BE99" i="16" s="1"/>
  <c r="BE98" i="16" a="1"/>
  <c r="BE98" i="16" s="1"/>
  <c r="BE103" i="16" a="1"/>
  <c r="BE103" i="16" s="1"/>
  <c r="BE102" i="16" a="1"/>
  <c r="BE102" i="16" s="1"/>
  <c r="BE101" i="16" a="1"/>
  <c r="BE101" i="16" s="1"/>
  <c r="BE97" i="17" a="1"/>
  <c r="BE97" i="17" s="1"/>
  <c r="BD97" i="17" a="1"/>
  <c r="BD97" i="17" s="1"/>
  <c r="BC100" i="17" a="1"/>
  <c r="BC100" i="17" s="1"/>
  <c r="BC97" i="17" a="1"/>
  <c r="BC97" i="17" s="1"/>
  <c r="BA98" i="17" a="1"/>
  <c r="BA98" i="17" s="1"/>
  <c r="O41" i="17" s="1"/>
  <c r="AP102" i="17" a="1"/>
  <c r="AP102" i="17" s="1"/>
  <c r="AU98" i="17" a="1"/>
  <c r="AU98" i="17" s="1"/>
  <c r="AZ97" i="17" a="1"/>
  <c r="AZ97" i="17" s="1"/>
  <c r="AY101" i="17" a="1"/>
  <c r="AY101" i="17" s="1"/>
  <c r="M44" i="17" s="1"/>
  <c r="BB102" i="17" a="1"/>
  <c r="BB102" i="17" s="1"/>
  <c r="AZ102" i="17" a="1"/>
  <c r="AZ102" i="17" s="1"/>
  <c r="N45" i="17" s="1"/>
  <c r="AV100" i="17" a="1"/>
  <c r="AV100" i="17" s="1"/>
  <c r="J43" i="17" s="1"/>
  <c r="AQ99" i="17" a="1"/>
  <c r="AQ99" i="17" s="1"/>
  <c r="E42" i="17" s="1"/>
  <c r="AR102" i="17" a="1"/>
  <c r="AR102" i="17" s="1"/>
  <c r="F45" i="17" s="1"/>
  <c r="BA99" i="17" a="1"/>
  <c r="BA99" i="17" s="1"/>
  <c r="AV103" i="17" a="1"/>
  <c r="AV103" i="17" s="1"/>
  <c r="BD98" i="17" a="1"/>
  <c r="BD98" i="17" s="1"/>
  <c r="AP98" i="17" a="1"/>
  <c r="AP98" i="17" s="1"/>
  <c r="AQ101" i="17" a="1"/>
  <c r="AQ101" i="17" s="1"/>
  <c r="AZ101" i="17" a="1"/>
  <c r="AZ101" i="17" s="1"/>
  <c r="AR99" i="17" a="1"/>
  <c r="AR99" i="17" s="1"/>
  <c r="AQ100" i="17" a="1"/>
  <c r="AQ100" i="17" s="1"/>
  <c r="AU102" i="17" a="1"/>
  <c r="AU102" i="17" s="1"/>
  <c r="AT97" i="17" a="1"/>
  <c r="AT97" i="17" s="1"/>
  <c r="AR97" i="17" a="1"/>
  <c r="AR97" i="17" s="1"/>
  <c r="AT101" i="17" a="1"/>
  <c r="AT101" i="17" s="1"/>
  <c r="AP101" i="17" a="1"/>
  <c r="AP101" i="17" s="1"/>
  <c r="AY99" i="17" a="1"/>
  <c r="AY99" i="17" s="1"/>
  <c r="AR98" i="17" a="1"/>
  <c r="AR98" i="17" s="1"/>
  <c r="F41" i="17" s="1"/>
  <c r="AQ98" i="17" a="1"/>
  <c r="AQ98" i="17" s="1"/>
  <c r="E41" i="17" s="1"/>
  <c r="AV97" i="17" a="1"/>
  <c r="AV97" i="17" s="1"/>
  <c r="J40" i="17" s="1"/>
  <c r="AQ97" i="17" a="1"/>
  <c r="AQ97" i="17" s="1"/>
  <c r="E40" i="17" s="1"/>
  <c r="BD102" i="17" a="1"/>
  <c r="BD102" i="17" s="1"/>
  <c r="R45" i="17" s="1"/>
  <c r="AW97" i="17" a="1"/>
  <c r="AW97" i="17" s="1"/>
  <c r="K40" i="17" s="1"/>
  <c r="BA102" i="17" a="1"/>
  <c r="BA102" i="17" s="1"/>
  <c r="AW101" i="17" a="1"/>
  <c r="AW101" i="17" s="1"/>
  <c r="AP100" i="17" a="1"/>
  <c r="AP100" i="17" s="1"/>
  <c r="AY100" i="17" a="1"/>
  <c r="AY100" i="17" s="1"/>
  <c r="AY98" i="17" a="1"/>
  <c r="AY98" i="17" s="1"/>
  <c r="BC102" i="17" a="1"/>
  <c r="BC102" i="17" s="1"/>
  <c r="AT102" i="17" a="1"/>
  <c r="AT102" i="17" s="1"/>
  <c r="AP103" i="17" a="1"/>
  <c r="AP103" i="17" s="1"/>
  <c r="AV101" i="17" a="1"/>
  <c r="AV101" i="17" s="1"/>
  <c r="BD101" i="17" a="1"/>
  <c r="BD101" i="17" s="1"/>
  <c r="AX102" i="17" a="1"/>
  <c r="AX102" i="17" s="1"/>
  <c r="L45" i="17" s="1"/>
  <c r="BC103" i="17" a="1"/>
  <c r="BC103" i="17" s="1"/>
  <c r="AW98" i="17" a="1"/>
  <c r="AW98" i="17" s="1"/>
  <c r="AY102" i="17" a="1"/>
  <c r="AY102" i="17" s="1"/>
  <c r="AT103" i="17" a="1"/>
  <c r="AT103" i="17" s="1"/>
  <c r="H46" i="17" s="1"/>
  <c r="AU100" i="17" a="1"/>
  <c r="AU100" i="17" s="1"/>
  <c r="I43" i="17" s="1"/>
  <c r="AW100" i="17" a="1"/>
  <c r="AW100" i="17" s="1"/>
  <c r="K43" i="17" s="1"/>
  <c r="AR103" i="17" a="1"/>
  <c r="AR103" i="17" s="1"/>
  <c r="F46" i="17" s="1"/>
  <c r="AR101" i="17" a="1"/>
  <c r="AR101" i="17" s="1"/>
  <c r="F44" i="17" s="1"/>
  <c r="BB97" i="17" a="1"/>
  <c r="BB97" i="17" s="1"/>
  <c r="P40" i="17" s="1"/>
  <c r="AT100" i="17" a="1"/>
  <c r="AT100" i="17" s="1"/>
  <c r="AX100" i="17" a="1"/>
  <c r="AX100" i="17" s="1"/>
  <c r="AS98" i="17" a="1"/>
  <c r="AS98" i="17" s="1"/>
  <c r="AV102" i="17" a="1"/>
  <c r="AV102" i="17" s="1"/>
  <c r="J45" i="17" s="1"/>
  <c r="AQ102" i="17" a="1"/>
  <c r="AQ102" i="17" s="1"/>
  <c r="AV99" i="17" a="1"/>
  <c r="AV99" i="17" s="1"/>
  <c r="AZ98" i="17" a="1"/>
  <c r="AZ98" i="17" s="1"/>
  <c r="BB103" i="17" a="1"/>
  <c r="BB103" i="17" s="1"/>
  <c r="AW102" i="17" a="1"/>
  <c r="AW102" i="17" s="1"/>
  <c r="AT98" i="17" a="1"/>
  <c r="AT98" i="17" s="1"/>
  <c r="AT99" i="17" a="1"/>
  <c r="AT99" i="17" s="1"/>
  <c r="H42" i="17" s="1"/>
  <c r="BA101" i="17" a="1"/>
  <c r="BA101" i="17" s="1"/>
  <c r="O44" i="17" s="1"/>
  <c r="AS99" i="17" a="1"/>
  <c r="AS99" i="17" s="1"/>
  <c r="G42" i="17" s="1"/>
  <c r="AQ103" i="17" a="1"/>
  <c r="AQ103" i="17" s="1"/>
  <c r="AP99" i="17" a="1"/>
  <c r="AP99" i="17" s="1"/>
  <c r="D42" i="17" s="1"/>
  <c r="BD103" i="17" a="1"/>
  <c r="BD103" i="17" s="1"/>
  <c r="R46" i="17" s="1"/>
  <c r="AV98" i="17" a="1"/>
  <c r="AV98" i="17" s="1"/>
  <c r="J41" i="17" s="1"/>
  <c r="BB100" i="17" a="1"/>
  <c r="BB100" i="17" s="1"/>
  <c r="P43" i="17" s="1"/>
  <c r="BA97" i="17" a="1"/>
  <c r="BA97" i="17" s="1"/>
  <c r="O40" i="17" s="1"/>
  <c r="BB98" i="17" a="1"/>
  <c r="BB98" i="17" s="1"/>
  <c r="P41" i="17" s="1"/>
  <c r="BA103" i="17" a="1"/>
  <c r="BA103" i="17" s="1"/>
  <c r="BD100" i="17" a="1"/>
  <c r="BD100" i="17" s="1"/>
  <c r="AX98" i="17" a="1"/>
  <c r="AX98" i="17" s="1"/>
  <c r="AX97" i="17" a="1"/>
  <c r="AX97" i="17" s="1"/>
  <c r="AU101" i="17" a="1"/>
  <c r="AU101" i="17" s="1"/>
  <c r="AY103" i="17" a="1"/>
  <c r="AY103" i="17" s="1"/>
  <c r="BB99" i="17" a="1"/>
  <c r="BB99" i="17" s="1"/>
  <c r="P42" i="17" s="1"/>
  <c r="AS97" i="17" a="1"/>
  <c r="AS97" i="17" s="1"/>
  <c r="BB101" i="17" a="1"/>
  <c r="BB101" i="17" s="1"/>
  <c r="AR100" i="17" a="1"/>
  <c r="AR100" i="17" s="1"/>
  <c r="AX101" i="17" a="1"/>
  <c r="AX101" i="17" s="1"/>
  <c r="L44" i="17" s="1"/>
  <c r="AS103" i="17" a="1"/>
  <c r="AS103" i="17" s="1"/>
  <c r="G46" i="17" s="1"/>
  <c r="AU97" i="17" a="1"/>
  <c r="AU97" i="17" s="1"/>
  <c r="BC101" i="17" a="1"/>
  <c r="BC101" i="17" s="1"/>
  <c r="BA100" i="17" a="1"/>
  <c r="BA100" i="17" s="1"/>
  <c r="O43" i="17" s="1"/>
  <c r="BC98" i="17" a="1"/>
  <c r="BC98" i="17" s="1"/>
  <c r="Q41" i="17" s="1"/>
  <c r="AU103" i="17" a="1"/>
  <c r="AU103" i="17" s="1"/>
  <c r="I46" i="17" s="1"/>
  <c r="AX103" i="17" a="1"/>
  <c r="AX103" i="17" s="1"/>
  <c r="L46" i="17" s="1"/>
  <c r="AP97" i="17" a="1"/>
  <c r="AP97" i="17" s="1"/>
  <c r="D40" i="17" s="1"/>
  <c r="AZ103" i="17" a="1"/>
  <c r="AZ103" i="17" s="1"/>
  <c r="N46" i="17" s="1"/>
  <c r="AZ99" i="17" a="1"/>
  <c r="AZ99" i="17" s="1"/>
  <c r="AS100" i="17" a="1"/>
  <c r="AS100" i="17" s="1"/>
  <c r="AW103" i="17" a="1"/>
  <c r="AW103" i="17" s="1"/>
  <c r="AX99" i="17" a="1"/>
  <c r="AX99" i="17" s="1"/>
  <c r="L42" i="17" s="1"/>
  <c r="AS102" i="17" a="1"/>
  <c r="AS102" i="17" s="1"/>
  <c r="AZ100" i="17" a="1"/>
  <c r="AZ100" i="17" s="1"/>
  <c r="AY97" i="17" a="1"/>
  <c r="AY97" i="17" s="1"/>
  <c r="M40" i="17" s="1"/>
  <c r="AU99" i="17" a="1"/>
  <c r="AU99" i="17" s="1"/>
  <c r="I42" i="17" s="1"/>
  <c r="AW99" i="17" a="1"/>
  <c r="AW99" i="17" s="1"/>
  <c r="K42" i="17" s="1"/>
  <c r="BC99" i="17" a="1"/>
  <c r="BC99" i="17" s="1"/>
  <c r="AS101" i="17" a="1"/>
  <c r="AS101" i="17" s="1"/>
  <c r="G44" i="17" s="1"/>
  <c r="BD99" i="17" a="1"/>
  <c r="BD99" i="17" s="1"/>
  <c r="R42" i="17" s="1"/>
  <c r="BE100" i="17" a="1"/>
  <c r="BE100" i="17" s="1"/>
  <c r="S43" i="17" s="1"/>
  <c r="BD102" i="16" a="1"/>
  <c r="BD102" i="16" s="1"/>
  <c r="BE101" i="17" a="1"/>
  <c r="BE101" i="17" s="1"/>
  <c r="S44" i="17" s="1"/>
  <c r="BD101" i="16" a="1"/>
  <c r="BD101" i="16" s="1"/>
  <c r="R44" i="16" s="1"/>
  <c r="BE103" i="17" a="1"/>
  <c r="BE103" i="17" s="1"/>
  <c r="S46" i="17" s="1"/>
  <c r="BD98" i="16" a="1"/>
  <c r="BD98" i="16" s="1"/>
  <c r="R41" i="16" s="1"/>
  <c r="BE99" i="17" a="1"/>
  <c r="BE99" i="17" s="1"/>
  <c r="S42" i="17" s="1"/>
  <c r="BE97" i="16" a="1"/>
  <c r="BE97" i="16" s="1"/>
  <c r="S40" i="16" s="1"/>
  <c r="BA97" i="16" a="1"/>
  <c r="BA97" i="16" s="1"/>
  <c r="BA103" i="16" a="1"/>
  <c r="BA103" i="16" s="1"/>
  <c r="AQ100" i="16" a="1"/>
  <c r="AQ100" i="16" s="1"/>
  <c r="AR101" i="16" a="1"/>
  <c r="AR101" i="16" s="1"/>
  <c r="AU98" i="16" a="1"/>
  <c r="AU98" i="16" s="1"/>
  <c r="AS103" i="16" a="1"/>
  <c r="AS103" i="16" s="1"/>
  <c r="AT98" i="16" a="1"/>
  <c r="AT98" i="16" s="1"/>
  <c r="AU99" i="16" a="1"/>
  <c r="AU99" i="16" s="1"/>
  <c r="AW103" i="16" a="1"/>
  <c r="AW103" i="16" s="1"/>
  <c r="AX100" i="16" a="1"/>
  <c r="AX100" i="16" s="1"/>
  <c r="BB97" i="16" a="1"/>
  <c r="BB97" i="16" s="1"/>
  <c r="P40" i="16" s="1"/>
  <c r="AT97" i="16" a="1"/>
  <c r="AT97" i="16" s="1"/>
  <c r="AW99" i="16" a="1"/>
  <c r="AW99" i="16" s="1"/>
  <c r="AY98" i="16" a="1"/>
  <c r="AY98" i="16" s="1"/>
  <c r="BA102" i="16" a="1"/>
  <c r="BA102" i="16" s="1"/>
  <c r="AU97" i="16" a="1"/>
  <c r="AU97" i="16" s="1"/>
  <c r="I40" i="16" s="1"/>
  <c r="AS102" i="16" a="1"/>
  <c r="AS102" i="16" s="1"/>
  <c r="G45" i="16" s="1"/>
  <c r="AV102" i="16" a="1"/>
  <c r="AV102" i="16" s="1"/>
  <c r="J45" i="16" s="1"/>
  <c r="AS99" i="16" a="1"/>
  <c r="AS99" i="16" s="1"/>
  <c r="G42" i="16" s="1"/>
  <c r="BA101" i="16" a="1"/>
  <c r="BA101" i="16" s="1"/>
  <c r="O44" i="16" s="1"/>
  <c r="AZ97" i="16" a="1"/>
  <c r="AZ97" i="16" s="1"/>
  <c r="BC97" i="16" a="1"/>
  <c r="BC97" i="16" s="1"/>
  <c r="BB98" i="16" a="1"/>
  <c r="BB98" i="16" s="1"/>
  <c r="AZ101" i="16" a="1"/>
  <c r="AZ101" i="16" s="1"/>
  <c r="AT102" i="16" a="1"/>
  <c r="AT102" i="16" s="1"/>
  <c r="AQ103" i="16" a="1"/>
  <c r="AQ103" i="16" s="1"/>
  <c r="AT99" i="16" a="1"/>
  <c r="AT99" i="16" s="1"/>
  <c r="BA100" i="16" a="1"/>
  <c r="BA100" i="16" s="1"/>
  <c r="AV98" i="16" a="1"/>
  <c r="AV98" i="16" s="1"/>
  <c r="BC103" i="16" a="1"/>
  <c r="BC103" i="16" s="1"/>
  <c r="AT101" i="16" a="1"/>
  <c r="AT101" i="16" s="1"/>
  <c r="H44" i="16" s="1"/>
  <c r="AT100" i="16" a="1"/>
  <c r="AT100" i="16" s="1"/>
  <c r="AR99" i="16" a="1"/>
  <c r="AR99" i="16" s="1"/>
  <c r="AY100" i="16" a="1"/>
  <c r="AY100" i="16" s="1"/>
  <c r="AT103" i="16" a="1"/>
  <c r="AT103" i="16" s="1"/>
  <c r="AR98" i="16" a="1"/>
  <c r="AR98" i="16" s="1"/>
  <c r="F41" i="16" s="1"/>
  <c r="AY99" i="16" a="1"/>
  <c r="AY99" i="16" s="1"/>
  <c r="M42" i="16" s="1"/>
  <c r="AP103" i="16" a="1"/>
  <c r="AP103" i="16" s="1"/>
  <c r="D46" i="16" s="1"/>
  <c r="AU102" i="16" a="1"/>
  <c r="AU102" i="16" s="1"/>
  <c r="I45" i="16" s="1"/>
  <c r="BC100" i="16" a="1"/>
  <c r="BC100" i="16" s="1"/>
  <c r="Q43" i="16" s="1"/>
  <c r="AX99" i="16" a="1"/>
  <c r="AX99" i="16" s="1"/>
  <c r="AZ102" i="16" a="1"/>
  <c r="AZ102" i="16" s="1"/>
  <c r="AU101" i="16" a="1"/>
  <c r="AU101" i="16" s="1"/>
  <c r="AQ102" i="16" a="1"/>
  <c r="AQ102" i="16" s="1"/>
  <c r="AX98" i="16" a="1"/>
  <c r="AX98" i="16" s="1"/>
  <c r="AR103" i="16" a="1"/>
  <c r="AR103" i="16" s="1"/>
  <c r="AV101" i="16" a="1"/>
  <c r="AV101" i="16" s="1"/>
  <c r="AW98" i="16" a="1"/>
  <c r="AW98" i="16" s="1"/>
  <c r="AS101" i="16" a="1"/>
  <c r="AS101" i="16" s="1"/>
  <c r="AQ101" i="16" a="1"/>
  <c r="AQ101" i="16" s="1"/>
  <c r="BB99" i="16" a="1"/>
  <c r="BB99" i="16" s="1"/>
  <c r="P42" i="16" s="1"/>
  <c r="AZ103" i="16" a="1"/>
  <c r="AZ103" i="16" s="1"/>
  <c r="BC102" i="16" a="1"/>
  <c r="BC102" i="16" s="1"/>
  <c r="AS97" i="16" a="1"/>
  <c r="AS97" i="16" s="1"/>
  <c r="AU100" i="16" a="1"/>
  <c r="AU100" i="16" s="1"/>
  <c r="I43" i="16" s="1"/>
  <c r="BC101" i="16" a="1"/>
  <c r="BC101" i="16" s="1"/>
  <c r="Q44" i="16" s="1"/>
  <c r="AP99" i="16" a="1"/>
  <c r="AP99" i="16" s="1"/>
  <c r="D42" i="16" s="1"/>
  <c r="AW100" i="16" a="1"/>
  <c r="AW100" i="16" s="1"/>
  <c r="K43" i="16" s="1"/>
  <c r="AR97" i="16" a="1"/>
  <c r="AR97" i="16" s="1"/>
  <c r="F40" i="16" s="1"/>
  <c r="AU103" i="16" a="1"/>
  <c r="AU103" i="16" s="1"/>
  <c r="I46" i="16" s="1"/>
  <c r="AV99" i="16" a="1"/>
  <c r="AV99" i="16" s="1"/>
  <c r="J42" i="16" s="1"/>
  <c r="AX103" i="16" a="1"/>
  <c r="AX103" i="16" s="1"/>
  <c r="AS100" i="16" a="1"/>
  <c r="AS100" i="16" s="1"/>
  <c r="AQ97" i="16" a="1"/>
  <c r="AQ97" i="16" s="1"/>
  <c r="AP97" i="16" a="1"/>
  <c r="AP97" i="16" s="1"/>
  <c r="BB100" i="16" a="1"/>
  <c r="BB100" i="16" s="1"/>
  <c r="BB103" i="16" a="1"/>
  <c r="BB103" i="16" s="1"/>
  <c r="AP100" i="16" a="1"/>
  <c r="AP100" i="16" s="1"/>
  <c r="BA98" i="16" a="1"/>
  <c r="BA98" i="16" s="1"/>
  <c r="AY97" i="16" a="1"/>
  <c r="AY97" i="16" s="1"/>
  <c r="AV97" i="16" a="1"/>
  <c r="AV97" i="16" s="1"/>
  <c r="J40" i="16" s="1"/>
  <c r="BC99" i="16" a="1"/>
  <c r="BC99" i="16" s="1"/>
  <c r="AW102" i="16" a="1"/>
  <c r="AW102" i="16" s="1"/>
  <c r="AX101" i="16" a="1"/>
  <c r="AX101" i="16" s="1"/>
  <c r="L44" i="16" s="1"/>
  <c r="AZ99" i="16" a="1"/>
  <c r="AZ99" i="16" s="1"/>
  <c r="N42" i="16" s="1"/>
  <c r="AR100" i="16" a="1"/>
  <c r="AR100" i="16" s="1"/>
  <c r="F43" i="16" s="1"/>
  <c r="AP101" i="16" a="1"/>
  <c r="AP101" i="16" s="1"/>
  <c r="D44" i="16" s="1"/>
  <c r="AV103" i="16" a="1"/>
  <c r="AV103" i="16" s="1"/>
  <c r="J46" i="16" s="1"/>
  <c r="AX97" i="16" a="1"/>
  <c r="AX97" i="16" s="1"/>
  <c r="L40" i="16" s="1"/>
  <c r="AY103" i="16" a="1"/>
  <c r="AY103" i="16" s="1"/>
  <c r="M46" i="16" s="1"/>
  <c r="BC98" i="16" a="1"/>
  <c r="BC98" i="16" s="1"/>
  <c r="Q41" i="16" s="1"/>
  <c r="AZ100" i="16" a="1"/>
  <c r="AZ100" i="16" s="1"/>
  <c r="AX102" i="16" a="1"/>
  <c r="AX102" i="16" s="1"/>
  <c r="AZ98" i="16" a="1"/>
  <c r="AZ98" i="16" s="1"/>
  <c r="AS98" i="16" a="1"/>
  <c r="AS98" i="16" s="1"/>
  <c r="BD97" i="16" a="1"/>
  <c r="BD97" i="16" s="1"/>
  <c r="BA99" i="16" a="1"/>
  <c r="BA99" i="16" s="1"/>
  <c r="O42" i="16" s="1"/>
  <c r="AP98" i="16" a="1"/>
  <c r="AP98" i="16" s="1"/>
  <c r="AQ98" i="16" a="1"/>
  <c r="AQ98" i="16" s="1"/>
  <c r="E41" i="16" s="1"/>
  <c r="AV100" i="16" a="1"/>
  <c r="AV100" i="16" s="1"/>
  <c r="BB102" i="16" a="1"/>
  <c r="BB102" i="16" s="1"/>
  <c r="P45" i="16" s="1"/>
  <c r="AQ99" i="16" a="1"/>
  <c r="AQ99" i="16" s="1"/>
  <c r="E42" i="16" s="1"/>
  <c r="AY102" i="16" a="1"/>
  <c r="AY102" i="16" s="1"/>
  <c r="M45" i="16" s="1"/>
  <c r="AP102" i="16" a="1"/>
  <c r="AP102" i="16" s="1"/>
  <c r="D45" i="16" s="1"/>
  <c r="AW97" i="16" a="1"/>
  <c r="AW97" i="16" s="1"/>
  <c r="K40" i="16" s="1"/>
  <c r="BB101" i="16" a="1"/>
  <c r="BB101" i="16" s="1"/>
  <c r="P44" i="16" s="1"/>
  <c r="AR102" i="16" a="1"/>
  <c r="AR102" i="16" s="1"/>
  <c r="F45" i="16" s="1"/>
  <c r="AY101" i="16" a="1"/>
  <c r="AY101" i="16" s="1"/>
  <c r="M44" i="16" s="1"/>
  <c r="AW101" i="16" a="1"/>
  <c r="AW101" i="16" s="1"/>
  <c r="K44" i="16" s="1"/>
  <c r="BD99" i="16" a="1"/>
  <c r="BD99" i="16" s="1"/>
  <c r="R42" i="16" s="1"/>
  <c r="BD103" i="16" a="1"/>
  <c r="BD103" i="16" s="1"/>
  <c r="R46" i="16" s="1"/>
  <c r="O46" i="17"/>
  <c r="J42" i="17"/>
  <c r="I44" i="17"/>
  <c r="M42" i="17"/>
  <c r="R44" i="17"/>
  <c r="M46" i="17"/>
  <c r="D41" i="17"/>
  <c r="H43" i="17"/>
  <c r="L40" i="17"/>
  <c r="N41" i="17"/>
  <c r="I40" i="17"/>
  <c r="P46" i="17"/>
  <c r="Q43" i="17"/>
  <c r="Q42" i="17"/>
  <c r="P45" i="17"/>
  <c r="L43" i="17"/>
  <c r="R40" i="17"/>
  <c r="M41" i="17"/>
  <c r="M45" i="17"/>
  <c r="R41" i="17"/>
  <c r="I41" i="17"/>
  <c r="M43" i="17"/>
  <c r="K44" i="17"/>
  <c r="F40" i="17"/>
  <c r="E43" i="17"/>
  <c r="E46" i="17"/>
  <c r="F42" i="17"/>
  <c r="J46" i="17"/>
  <c r="R43" i="17"/>
  <c r="K46" i="17"/>
  <c r="N43" i="17"/>
  <c r="L41" i="17"/>
  <c r="N42" i="17"/>
  <c r="G43" i="17"/>
  <c r="Q46" i="17"/>
  <c r="D43" i="17"/>
  <c r="N40" i="17"/>
  <c r="G40" i="17"/>
  <c r="Q40" i="17"/>
  <c r="F43" i="17"/>
  <c r="O45" i="17"/>
  <c r="BE81" i="17"/>
  <c r="BE83" i="17"/>
  <c r="BE82" i="17"/>
  <c r="S45" i="17"/>
  <c r="BE79" i="17"/>
  <c r="BE78" i="17"/>
  <c r="S41" i="17"/>
  <c r="BE80" i="17"/>
  <c r="S40" i="17"/>
  <c r="BE77" i="17"/>
  <c r="O42" i="17"/>
  <c r="N44" i="17"/>
  <c r="G41" i="17"/>
  <c r="E45" i="17"/>
  <c r="H41" i="17"/>
  <c r="P44" i="17"/>
  <c r="K41" i="17"/>
  <c r="G45" i="17"/>
  <c r="I45" i="17"/>
  <c r="H45" i="17"/>
  <c r="Q44" i="17"/>
  <c r="BF99" i="17" a="1"/>
  <c r="BF99" i="17" s="1"/>
  <c r="T42" i="17" s="1"/>
  <c r="BF79" i="17"/>
  <c r="J44" i="17"/>
  <c r="K45" i="17"/>
  <c r="BF98" i="17" a="1"/>
  <c r="BF98" i="17" s="1"/>
  <c r="T41" i="17" s="1"/>
  <c r="BF78" i="17"/>
  <c r="BF101" i="17" a="1"/>
  <c r="BF101" i="17" s="1"/>
  <c r="T44" i="17" s="1"/>
  <c r="BF81" i="17"/>
  <c r="BF102" i="17" a="1"/>
  <c r="BF102" i="17" s="1"/>
  <c r="T45" i="17" s="1"/>
  <c r="BF82" i="17"/>
  <c r="BF100" i="17" a="1"/>
  <c r="BF100" i="17" s="1"/>
  <c r="T43" i="17" s="1"/>
  <c r="BF80" i="17"/>
  <c r="Q45" i="17"/>
  <c r="BF103" i="17" a="1"/>
  <c r="BF103" i="17" s="1"/>
  <c r="T46" i="17" s="1"/>
  <c r="BF83" i="17"/>
  <c r="D45" i="17"/>
  <c r="BF97" i="17" a="1"/>
  <c r="BF97" i="17" s="1"/>
  <c r="T40" i="17" s="1"/>
  <c r="BF77" i="17"/>
  <c r="H44" i="17"/>
  <c r="E44" i="17"/>
  <c r="D46" i="17"/>
  <c r="H40" i="17"/>
  <c r="BH68" i="15"/>
  <c r="D44" i="17"/>
  <c r="BF100" i="16" a="1"/>
  <c r="BF100" i="16" s="1"/>
  <c r="T43" i="16" s="1"/>
  <c r="BF101" i="16" a="1"/>
  <c r="BF101" i="16" s="1"/>
  <c r="T44" i="16" s="1"/>
  <c r="BF99" i="16" a="1"/>
  <c r="BF99" i="16" s="1"/>
  <c r="T42" i="16" s="1"/>
  <c r="BF98" i="16" a="1"/>
  <c r="BF98" i="16" s="1"/>
  <c r="T41" i="16" s="1"/>
  <c r="BF97" i="16" a="1"/>
  <c r="BF97" i="16" s="1"/>
  <c r="T40" i="16" s="1"/>
  <c r="BJ63" i="15"/>
  <c r="BI69" i="15"/>
  <c r="BI66" i="15"/>
  <c r="BI67" i="15"/>
  <c r="BE82" i="15"/>
  <c r="BE83" i="15"/>
  <c r="BE84" i="15"/>
  <c r="BE85" i="15"/>
  <c r="BG65" i="15"/>
  <c r="BG72" i="15" s="1"/>
  <c r="BF71" i="15"/>
  <c r="BF70" i="15"/>
  <c r="BF73" i="15"/>
  <c r="BD86" i="15"/>
  <c r="S43" i="16"/>
  <c r="S46" i="16"/>
  <c r="S45" i="16"/>
  <c r="K41" i="16"/>
  <c r="M40" i="16"/>
  <c r="N40" i="16"/>
  <c r="G44" i="16"/>
  <c r="Q40" i="16"/>
  <c r="H40" i="16"/>
  <c r="H43" i="16"/>
  <c r="K42" i="16"/>
  <c r="H45" i="16"/>
  <c r="R43" i="16"/>
  <c r="G46" i="16"/>
  <c r="N45" i="16"/>
  <c r="R45" i="16"/>
  <c r="L42" i="16"/>
  <c r="Q46" i="16"/>
  <c r="F42" i="16"/>
  <c r="I42" i="16"/>
  <c r="N43" i="16"/>
  <c r="P43" i="16"/>
  <c r="Q42" i="16"/>
  <c r="O45" i="16"/>
  <c r="H42" i="16"/>
  <c r="J44" i="16"/>
  <c r="M43" i="16"/>
  <c r="E44" i="16"/>
  <c r="N41" i="16"/>
  <c r="F46" i="16"/>
  <c r="K46" i="16"/>
  <c r="E46" i="16"/>
  <c r="O43" i="16"/>
  <c r="M41" i="16"/>
  <c r="E45" i="16"/>
  <c r="P46" i="16"/>
  <c r="E43" i="16"/>
  <c r="E40" i="16"/>
  <c r="I41" i="16"/>
  <c r="I44" i="16"/>
  <c r="D40" i="16"/>
  <c r="D41" i="16"/>
  <c r="G41" i="16"/>
  <c r="L41" i="16"/>
  <c r="K45" i="16"/>
  <c r="L43" i="16"/>
  <c r="H41" i="16"/>
  <c r="L46" i="16"/>
  <c r="P41" i="16"/>
  <c r="L45" i="16"/>
  <c r="Q45" i="16"/>
  <c r="R40" i="16"/>
  <c r="O41" i="16"/>
  <c r="N44" i="16"/>
  <c r="O46" i="16"/>
  <c r="F44" i="16"/>
  <c r="D43" i="16"/>
  <c r="N46" i="16"/>
  <c r="J43" i="16"/>
  <c r="G43" i="16"/>
  <c r="O40" i="16"/>
  <c r="G40" i="16"/>
  <c r="H46" i="16"/>
  <c r="S41" i="16"/>
  <c r="S44" i="16"/>
  <c r="S42" i="16"/>
  <c r="BF102" i="16" a="1"/>
  <c r="BF102" i="16" s="1"/>
  <c r="T45" i="16" s="1"/>
  <c r="BF103" i="16" a="1"/>
  <c r="BF103" i="16" s="1"/>
  <c r="T46" i="16" s="1"/>
  <c r="BF78" i="16"/>
  <c r="BF77" i="16"/>
  <c r="BF83" i="16"/>
  <c r="BE80" i="16"/>
  <c r="BF82" i="16"/>
  <c r="BE79" i="16"/>
  <c r="BF79" i="16"/>
  <c r="BE78" i="16"/>
  <c r="BE83" i="16"/>
  <c r="BF81" i="16"/>
  <c r="BE82" i="16"/>
  <c r="BF80" i="16"/>
  <c r="BE81" i="16"/>
  <c r="BE77" i="16"/>
  <c r="J41" i="16"/>
  <c r="BF49" i="15"/>
  <c r="BC19" i="15"/>
  <c r="BB20" i="15"/>
  <c r="AZ81" i="10"/>
  <c r="AZ77" i="10"/>
  <c r="AZ79" i="10"/>
  <c r="AZ78" i="10"/>
  <c r="AZ82" i="10"/>
  <c r="AZ83" i="10"/>
  <c r="AZ80" i="10"/>
  <c r="O58" i="10"/>
  <c r="AH58" i="10" s="1"/>
  <c r="BA58" i="10" s="1"/>
  <c r="O62" i="10"/>
  <c r="AH62" i="10" s="1"/>
  <c r="BA62" i="10" s="1"/>
  <c r="O59" i="10"/>
  <c r="AH59" i="10" s="1"/>
  <c r="BA59" i="10" s="1"/>
  <c r="O64" i="10"/>
  <c r="AH64" i="10" s="1"/>
  <c r="BA64" i="10" s="1"/>
  <c r="O61" i="10"/>
  <c r="AH61" i="10" s="1"/>
  <c r="BA61" i="10" s="1"/>
  <c r="O60" i="10"/>
  <c r="AH60" i="10" s="1"/>
  <c r="BA60" i="10" s="1"/>
  <c r="O63" i="10"/>
  <c r="AH63" i="10" s="1"/>
  <c r="BA63" i="10" s="1"/>
  <c r="Q32" i="10"/>
  <c r="P34" i="10"/>
  <c r="P37" i="10" s="1"/>
  <c r="P39" i="10" s="1"/>
  <c r="BI68" i="15" l="1"/>
  <c r="BK63" i="15"/>
  <c r="BJ69" i="15"/>
  <c r="BJ66" i="15"/>
  <c r="BJ67" i="15"/>
  <c r="BF82" i="15"/>
  <c r="BF83" i="15"/>
  <c r="BF84" i="15"/>
  <c r="BF85" i="15"/>
  <c r="BH65" i="15"/>
  <c r="BH72" i="15" s="1"/>
  <c r="BG73" i="15"/>
  <c r="BG70" i="15"/>
  <c r="BG71" i="15"/>
  <c r="BE86" i="15"/>
  <c r="BG49" i="15"/>
  <c r="BD19" i="15"/>
  <c r="BC20" i="15"/>
  <c r="BA82" i="10"/>
  <c r="BA80" i="10"/>
  <c r="BA77" i="10"/>
  <c r="BA81" i="10"/>
  <c r="BA78" i="10"/>
  <c r="BA83" i="10"/>
  <c r="BA79" i="10"/>
  <c r="P59" i="10"/>
  <c r="AI59" i="10" s="1"/>
  <c r="BB59" i="10" s="1"/>
  <c r="P63" i="10"/>
  <c r="AI63" i="10" s="1"/>
  <c r="BB63" i="10" s="1"/>
  <c r="P58" i="10"/>
  <c r="AI58" i="10" s="1"/>
  <c r="BB58" i="10" s="1"/>
  <c r="P62" i="10"/>
  <c r="AI62" i="10" s="1"/>
  <c r="BB62" i="10" s="1"/>
  <c r="P64" i="10"/>
  <c r="AI64" i="10" s="1"/>
  <c r="BB64" i="10" s="1"/>
  <c r="P61" i="10"/>
  <c r="AI61" i="10" s="1"/>
  <c r="BB61" i="10" s="1"/>
  <c r="P60" i="10"/>
  <c r="AI60" i="10" s="1"/>
  <c r="BB60" i="10" s="1"/>
  <c r="R32" i="10"/>
  <c r="Q34" i="10"/>
  <c r="Q37" i="10" s="1"/>
  <c r="Q39" i="10" s="1"/>
  <c r="BJ68" i="15" l="1"/>
  <c r="BK67" i="15"/>
  <c r="BK66" i="15"/>
  <c r="BK69" i="15"/>
  <c r="BG82" i="15"/>
  <c r="BG83" i="15"/>
  <c r="BG84" i="15"/>
  <c r="BG85" i="15"/>
  <c r="BI65" i="15"/>
  <c r="BI72" i="15" s="1"/>
  <c r="BH70" i="15"/>
  <c r="BH73" i="15"/>
  <c r="BH71" i="15"/>
  <c r="BF86" i="15"/>
  <c r="BH49" i="15"/>
  <c r="BE19" i="15"/>
  <c r="BD20" i="15"/>
  <c r="BB82" i="10"/>
  <c r="BB80" i="10"/>
  <c r="BB77" i="10"/>
  <c r="BB83" i="10"/>
  <c r="BB81" i="10"/>
  <c r="BB79" i="10"/>
  <c r="BB78" i="10"/>
  <c r="Q59" i="10"/>
  <c r="AJ59" i="10" s="1"/>
  <c r="BC59" i="10" s="1"/>
  <c r="Q63" i="10"/>
  <c r="AJ63" i="10" s="1"/>
  <c r="BC63" i="10" s="1"/>
  <c r="Q58" i="10"/>
  <c r="AJ58" i="10" s="1"/>
  <c r="BC58" i="10" s="1"/>
  <c r="Q62" i="10"/>
  <c r="AJ62" i="10" s="1"/>
  <c r="BC62" i="10" s="1"/>
  <c r="Q64" i="10"/>
  <c r="AJ64" i="10" s="1"/>
  <c r="BC64" i="10" s="1"/>
  <c r="Q61" i="10"/>
  <c r="AJ61" i="10" s="1"/>
  <c r="BC61" i="10" s="1"/>
  <c r="Q60" i="10"/>
  <c r="AJ60" i="10" s="1"/>
  <c r="BC60" i="10" s="1"/>
  <c r="S32" i="10"/>
  <c r="R34" i="10"/>
  <c r="R37" i="10" s="1"/>
  <c r="R39" i="10" s="1"/>
  <c r="BK68" i="15" l="1"/>
  <c r="BH82" i="15"/>
  <c r="BH83" i="15"/>
  <c r="BH84" i="15"/>
  <c r="BH85" i="15"/>
  <c r="BJ65" i="15"/>
  <c r="BJ72" i="15" s="1"/>
  <c r="BI73" i="15"/>
  <c r="BI70" i="15"/>
  <c r="BI71" i="15"/>
  <c r="BG86" i="15"/>
  <c r="BI49" i="15"/>
  <c r="BF19" i="15"/>
  <c r="BE20" i="15"/>
  <c r="S34" i="10"/>
  <c r="S37" i="10" s="1"/>
  <c r="S39" i="10" s="1"/>
  <c r="S61" i="10" s="1"/>
  <c r="AL61" i="10" s="1"/>
  <c r="BE61" i="10" s="1"/>
  <c r="T32" i="10"/>
  <c r="T34" i="10" s="1"/>
  <c r="T37" i="10" s="1"/>
  <c r="T39" i="10" s="1"/>
  <c r="BC77" i="10"/>
  <c r="BC83" i="10"/>
  <c r="BC82" i="10"/>
  <c r="BC80" i="10"/>
  <c r="BC81" i="10"/>
  <c r="BC79" i="10"/>
  <c r="BC78" i="10"/>
  <c r="R59" i="10"/>
  <c r="AK59" i="10" s="1"/>
  <c r="BD59" i="10" s="1"/>
  <c r="R63" i="10"/>
  <c r="AK63" i="10" s="1"/>
  <c r="BD63" i="10" s="1"/>
  <c r="R62" i="10"/>
  <c r="AK62" i="10" s="1"/>
  <c r="BD62" i="10" s="1"/>
  <c r="R58" i="10"/>
  <c r="AK58" i="10" s="1"/>
  <c r="BD58" i="10" s="1"/>
  <c r="R61" i="10"/>
  <c r="AK61" i="10" s="1"/>
  <c r="BD61" i="10" s="1"/>
  <c r="R60" i="10"/>
  <c r="AK60" i="10" s="1"/>
  <c r="BD60" i="10" s="1"/>
  <c r="R64" i="10"/>
  <c r="AK64" i="10" s="1"/>
  <c r="BD64" i="10" s="1"/>
  <c r="BI82" i="15" l="1"/>
  <c r="BI83" i="15"/>
  <c r="BI84" i="15"/>
  <c r="BI85" i="15"/>
  <c r="BK65" i="15"/>
  <c r="BK72" i="15" s="1"/>
  <c r="BJ73" i="15"/>
  <c r="BJ71" i="15"/>
  <c r="BJ70" i="15"/>
  <c r="BH86" i="15"/>
  <c r="BJ49" i="15"/>
  <c r="BG19" i="15"/>
  <c r="BF20" i="15"/>
  <c r="S58" i="10"/>
  <c r="AL58" i="10" s="1"/>
  <c r="BE58" i="10" s="1"/>
  <c r="AX99" i="10" s="1" a="1"/>
  <c r="AX99" i="10" s="1"/>
  <c r="S59" i="10"/>
  <c r="AL59" i="10" s="1"/>
  <c r="BE59" i="10" s="1"/>
  <c r="BE98" i="10" s="1" a="1"/>
  <c r="BE98" i="10" s="1"/>
  <c r="S63" i="10"/>
  <c r="AL63" i="10" s="1"/>
  <c r="BE63" i="10" s="1"/>
  <c r="S62" i="10"/>
  <c r="AL62" i="10" s="1"/>
  <c r="BE62" i="10" s="1"/>
  <c r="BE101" i="10" s="1" a="1"/>
  <c r="BE101" i="10" s="1"/>
  <c r="S64" i="10"/>
  <c r="AL64" i="10" s="1"/>
  <c r="BE64" i="10" s="1"/>
  <c r="D167" i="11"/>
  <c r="S60" i="10"/>
  <c r="AL60" i="10" s="1"/>
  <c r="BE60" i="10" s="1"/>
  <c r="T64" i="10"/>
  <c r="AM64" i="10" s="1"/>
  <c r="BF64" i="10" s="1"/>
  <c r="T62" i="10"/>
  <c r="AM62" i="10" s="1"/>
  <c r="BF62" i="10" s="1"/>
  <c r="T63" i="10"/>
  <c r="AM63" i="10" s="1"/>
  <c r="BF63" i="10" s="1"/>
  <c r="T58" i="10"/>
  <c r="AM58" i="10" s="1"/>
  <c r="BF58" i="10" s="1"/>
  <c r="T60" i="10"/>
  <c r="AM60" i="10" s="1"/>
  <c r="BF60" i="10" s="1"/>
  <c r="T61" i="10"/>
  <c r="AM61" i="10" s="1"/>
  <c r="BF61" i="10" s="1"/>
  <c r="T59" i="10"/>
  <c r="AM59" i="10" s="1"/>
  <c r="BF59" i="10" s="1"/>
  <c r="BD82" i="10"/>
  <c r="BD81" i="10"/>
  <c r="BD77" i="10"/>
  <c r="BD78" i="10"/>
  <c r="BD79" i="10"/>
  <c r="BD83" i="10"/>
  <c r="BE80" i="10"/>
  <c r="BD80" i="10"/>
  <c r="BE102" i="10" l="1" a="1"/>
  <c r="BE102" i="10" s="1"/>
  <c r="AV97" i="10" a="1"/>
  <c r="AV97" i="10" s="1"/>
  <c r="AZ101" i="10" a="1"/>
  <c r="AZ101" i="10" s="1"/>
  <c r="AQ99" i="10" a="1"/>
  <c r="AQ99" i="10" s="1"/>
  <c r="BB103" i="10" a="1"/>
  <c r="BB103" i="10" s="1"/>
  <c r="AW97" i="10" a="1"/>
  <c r="AW97" i="10" s="1"/>
  <c r="K40" i="10" s="1"/>
  <c r="BC103" i="10" a="1"/>
  <c r="BC103" i="10" s="1"/>
  <c r="BD97" i="10" a="1"/>
  <c r="BD97" i="10" s="1"/>
  <c r="BB98" i="10" a="1"/>
  <c r="BB98" i="10" s="1"/>
  <c r="BC100" i="10" a="1"/>
  <c r="BC100" i="10" s="1"/>
  <c r="AU99" i="10" a="1"/>
  <c r="AU99" i="10" s="1"/>
  <c r="AR98" i="10" a="1"/>
  <c r="AR98" i="10" s="1"/>
  <c r="AT98" i="10" a="1"/>
  <c r="AT98" i="10" s="1"/>
  <c r="AT99" i="10" a="1"/>
  <c r="AT99" i="10" s="1"/>
  <c r="AV98" i="10" a="1"/>
  <c r="AV98" i="10" s="1"/>
  <c r="AS100" i="10" a="1"/>
  <c r="AS100" i="10" s="1"/>
  <c r="BC97" i="10" a="1"/>
  <c r="BC97" i="10" s="1"/>
  <c r="Q40" i="10" s="1"/>
  <c r="AP100" i="10" a="1"/>
  <c r="AP100" i="10" s="1"/>
  <c r="D43" i="10" s="1"/>
  <c r="AT102" i="10" a="1"/>
  <c r="AT102" i="10" s="1"/>
  <c r="H45" i="10" s="1"/>
  <c r="AS103" i="10" a="1"/>
  <c r="AS103" i="10" s="1"/>
  <c r="G46" i="10" s="1"/>
  <c r="AQ101" i="10" a="1"/>
  <c r="AQ101" i="10" s="1"/>
  <c r="E44" i="10" s="1"/>
  <c r="AP97" i="10" a="1"/>
  <c r="AP97" i="10" s="1"/>
  <c r="AX102" i="10" a="1"/>
  <c r="AX102" i="10" s="1"/>
  <c r="AY99" i="10" a="1"/>
  <c r="AY99" i="10" s="1"/>
  <c r="BD103" i="10" a="1"/>
  <c r="BD103" i="10" s="1"/>
  <c r="AV99" i="10" a="1"/>
  <c r="AV99" i="10" s="1"/>
  <c r="J42" i="10" s="1"/>
  <c r="AY103" i="10" a="1"/>
  <c r="AY103" i="10" s="1"/>
  <c r="AU101" i="10" a="1"/>
  <c r="AU101" i="10" s="1"/>
  <c r="AZ100" i="10" a="1"/>
  <c r="AZ100" i="10" s="1"/>
  <c r="AS99" i="10" a="1"/>
  <c r="AS99" i="10" s="1"/>
  <c r="AR102" i="10" a="1"/>
  <c r="AR102" i="10" s="1"/>
  <c r="BD102" i="10" a="1"/>
  <c r="BD102" i="10" s="1"/>
  <c r="AU102" i="10" a="1"/>
  <c r="AU102" i="10" s="1"/>
  <c r="AV100" i="10" a="1"/>
  <c r="AV100" i="10" s="1"/>
  <c r="AX97" i="10" a="1"/>
  <c r="AX97" i="10" s="1"/>
  <c r="AP101" i="10" a="1"/>
  <c r="AP101" i="10" s="1"/>
  <c r="AQ103" i="10" a="1"/>
  <c r="AQ103" i="10" s="1"/>
  <c r="E46" i="10" s="1"/>
  <c r="BA98" i="10" a="1"/>
  <c r="BA98" i="10" s="1"/>
  <c r="O41" i="10" s="1"/>
  <c r="AQ102" i="10" a="1"/>
  <c r="AQ102" i="10" s="1"/>
  <c r="E45" i="10" s="1"/>
  <c r="AR99" i="10" a="1"/>
  <c r="AR99" i="10" s="1"/>
  <c r="F42" i="10" s="1"/>
  <c r="AW100" i="10" a="1"/>
  <c r="AW100" i="10" s="1"/>
  <c r="K43" i="10" s="1"/>
  <c r="AY102" i="10" a="1"/>
  <c r="AY102" i="10" s="1"/>
  <c r="BA102" i="10" a="1"/>
  <c r="BA102" i="10" s="1"/>
  <c r="AV101" i="10" a="1"/>
  <c r="AV101" i="10" s="1"/>
  <c r="AY98" i="10" a="1"/>
  <c r="AY98" i="10" s="1"/>
  <c r="AZ98" i="10" a="1"/>
  <c r="AZ98" i="10" s="1"/>
  <c r="N41" i="10" s="1"/>
  <c r="BD98" i="10" a="1"/>
  <c r="BD98" i="10" s="1"/>
  <c r="AX100" i="10" a="1"/>
  <c r="AX100" i="10" s="1"/>
  <c r="AT103" i="10" a="1"/>
  <c r="AT103" i="10" s="1"/>
  <c r="AR97" i="10" a="1"/>
  <c r="AR97" i="10" s="1"/>
  <c r="BD99" i="10" a="1"/>
  <c r="BD99" i="10" s="1"/>
  <c r="BA99" i="10" a="1"/>
  <c r="BA99" i="10" s="1"/>
  <c r="BC102" i="10" a="1"/>
  <c r="BC102" i="10" s="1"/>
  <c r="AQ100" i="10" a="1"/>
  <c r="AQ100" i="10" s="1"/>
  <c r="AU98" i="10" a="1"/>
  <c r="AU98" i="10" s="1"/>
  <c r="I41" i="10" s="1"/>
  <c r="AP99" i="10" a="1"/>
  <c r="AP99" i="10" s="1"/>
  <c r="D42" i="10" s="1"/>
  <c r="AQ97" i="10" a="1"/>
  <c r="AQ97" i="10" s="1"/>
  <c r="E40" i="10" s="1"/>
  <c r="AY97" i="10" a="1"/>
  <c r="AY97" i="10" s="1"/>
  <c r="M40" i="10" s="1"/>
  <c r="AP98" i="10" a="1"/>
  <c r="AP98" i="10" s="1"/>
  <c r="D41" i="10" s="1"/>
  <c r="BB97" i="10" a="1"/>
  <c r="BB97" i="10" s="1"/>
  <c r="P40" i="10" s="1"/>
  <c r="AS98" i="10" a="1"/>
  <c r="AS98" i="10" s="1"/>
  <c r="G41" i="10" s="1"/>
  <c r="BC99" i="10" a="1"/>
  <c r="BC99" i="10" s="1"/>
  <c r="AT101" i="10" a="1"/>
  <c r="AT101" i="10" s="1"/>
  <c r="BE100" i="10" a="1"/>
  <c r="BE100" i="10" s="1"/>
  <c r="BB100" i="10" a="1"/>
  <c r="BB100" i="10" s="1"/>
  <c r="AP103" i="10" a="1"/>
  <c r="AP103" i="10" s="1"/>
  <c r="D46" i="10" s="1"/>
  <c r="BC101" i="10" a="1"/>
  <c r="BC101" i="10" s="1"/>
  <c r="BB102" i="10" a="1"/>
  <c r="BB102" i="10" s="1"/>
  <c r="BD100" i="10" a="1"/>
  <c r="BD100" i="10" s="1"/>
  <c r="AP102" i="10" a="1"/>
  <c r="AP102" i="10" s="1"/>
  <c r="BB99" i="10" a="1"/>
  <c r="BB99" i="10" s="1"/>
  <c r="AR100" i="10" a="1"/>
  <c r="AR100" i="10" s="1"/>
  <c r="BA103" i="10" a="1"/>
  <c r="BA103" i="10" s="1"/>
  <c r="AY101" i="10" a="1"/>
  <c r="AY101" i="10" s="1"/>
  <c r="M44" i="10" s="1"/>
  <c r="AT100" i="10" a="1"/>
  <c r="AT100" i="10" s="1"/>
  <c r="H43" i="10" s="1"/>
  <c r="AS97" i="10" a="1"/>
  <c r="AS97" i="10" s="1"/>
  <c r="G40" i="10" s="1"/>
  <c r="AX101" i="10" a="1"/>
  <c r="AX101" i="10" s="1"/>
  <c r="L44" i="10" s="1"/>
  <c r="AW103" i="10" a="1"/>
  <c r="AW103" i="10" s="1"/>
  <c r="K46" i="10" s="1"/>
  <c r="BB101" i="10" a="1"/>
  <c r="BB101" i="10" s="1"/>
  <c r="P44" i="10" s="1"/>
  <c r="AU100" i="10" a="1"/>
  <c r="AU100" i="10" s="1"/>
  <c r="I43" i="10" s="1"/>
  <c r="AW102" i="10" a="1"/>
  <c r="AW102" i="10" s="1"/>
  <c r="K45" i="10" s="1"/>
  <c r="AS102" i="10" a="1"/>
  <c r="AS102" i="10" s="1"/>
  <c r="AY100" i="10" a="1"/>
  <c r="AY100" i="10" s="1"/>
  <c r="BA100" i="10" a="1"/>
  <c r="BA100" i="10" s="1"/>
  <c r="AV102" i="10" a="1"/>
  <c r="AV102" i="10" s="1"/>
  <c r="BE97" i="10" a="1"/>
  <c r="BE97" i="10" s="1"/>
  <c r="S40" i="10" s="1"/>
  <c r="AZ97" i="10" a="1"/>
  <c r="AZ97" i="10" s="1"/>
  <c r="AX103" i="10" a="1"/>
  <c r="AX103" i="10" s="1"/>
  <c r="BE99" i="10" a="1"/>
  <c r="BE99" i="10" s="1"/>
  <c r="S42" i="10" s="1"/>
  <c r="AZ99" i="10" a="1"/>
  <c r="AZ99" i="10" s="1"/>
  <c r="N42" i="10" s="1"/>
  <c r="AU103" i="10" a="1"/>
  <c r="AU103" i="10" s="1"/>
  <c r="I46" i="10" s="1"/>
  <c r="AW101" i="10" a="1"/>
  <c r="AW101" i="10" s="1"/>
  <c r="K44" i="10" s="1"/>
  <c r="BA101" i="10" a="1"/>
  <c r="BA101" i="10" s="1"/>
  <c r="O44" i="10" s="1"/>
  <c r="AR101" i="10" a="1"/>
  <c r="AR101" i="10" s="1"/>
  <c r="F44" i="10" s="1"/>
  <c r="BA97" i="10" a="1"/>
  <c r="BA97" i="10" s="1"/>
  <c r="O40" i="10" s="1"/>
  <c r="AZ103" i="10" a="1"/>
  <c r="AZ103" i="10" s="1"/>
  <c r="N46" i="10" s="1"/>
  <c r="AW98" i="10" a="1"/>
  <c r="AW98" i="10" s="1"/>
  <c r="K41" i="10" s="1"/>
  <c r="AW99" i="10" a="1"/>
  <c r="AW99" i="10" s="1"/>
  <c r="K42" i="10" s="1"/>
  <c r="AU97" i="10" a="1"/>
  <c r="AU97" i="10" s="1"/>
  <c r="I40" i="10" s="1"/>
  <c r="AT97" i="10" a="1"/>
  <c r="AT97" i="10" s="1"/>
  <c r="H40" i="10" s="1"/>
  <c r="BD101" i="10" a="1"/>
  <c r="BD101" i="10" s="1"/>
  <c r="R44" i="10" s="1"/>
  <c r="AQ98" i="10" a="1"/>
  <c r="AQ98" i="10" s="1"/>
  <c r="BE103" i="10" a="1"/>
  <c r="BE103" i="10" s="1"/>
  <c r="AS101" i="10" a="1"/>
  <c r="AS101" i="10" s="1"/>
  <c r="BC98" i="10" a="1"/>
  <c r="BC98" i="10" s="1"/>
  <c r="AX98" i="10" a="1"/>
  <c r="AX98" i="10" s="1"/>
  <c r="L41" i="10" s="1"/>
  <c r="AV103" i="10" a="1"/>
  <c r="AV103" i="10" s="1"/>
  <c r="J46" i="10" s="1"/>
  <c r="AZ102" i="10" a="1"/>
  <c r="AZ102" i="10" s="1"/>
  <c r="N45" i="10" s="1"/>
  <c r="AR103" i="10" a="1"/>
  <c r="AR103" i="10" s="1"/>
  <c r="F46" i="10" s="1"/>
  <c r="BJ82" i="15"/>
  <c r="BJ83" i="15"/>
  <c r="BJ84" i="15"/>
  <c r="BJ85" i="15"/>
  <c r="BK71" i="15"/>
  <c r="BK70" i="15"/>
  <c r="BK73" i="15"/>
  <c r="BI86" i="15"/>
  <c r="H41" i="10"/>
  <c r="M42" i="10"/>
  <c r="J45" i="10"/>
  <c r="G45" i="10"/>
  <c r="J43" i="10"/>
  <c r="G43" i="10"/>
  <c r="R46" i="10"/>
  <c r="R43" i="10"/>
  <c r="BE78" i="10"/>
  <c r="E43" i="10"/>
  <c r="D45" i="10"/>
  <c r="L46" i="10"/>
  <c r="Q46" i="10"/>
  <c r="N40" i="10"/>
  <c r="H44" i="10"/>
  <c r="I45" i="10"/>
  <c r="N43" i="10"/>
  <c r="M45" i="10"/>
  <c r="R40" i="10"/>
  <c r="BF80" i="10"/>
  <c r="BF100" i="10" a="1"/>
  <c r="BF100" i="10" s="1"/>
  <c r="T43" i="10" s="1"/>
  <c r="F41" i="10"/>
  <c r="Q44" i="10"/>
  <c r="P46" i="10"/>
  <c r="BF79" i="10"/>
  <c r="BF99" i="10" a="1"/>
  <c r="BF99" i="10" s="1"/>
  <c r="T42" i="10" s="1"/>
  <c r="M46" i="10"/>
  <c r="L45" i="10"/>
  <c r="BF77" i="10"/>
  <c r="BF97" i="10" a="1"/>
  <c r="BF97" i="10" s="1"/>
  <c r="T40" i="10" s="1"/>
  <c r="Q45" i="10"/>
  <c r="F43" i="10"/>
  <c r="BF82" i="10"/>
  <c r="BF102" i="10" a="1"/>
  <c r="BF102" i="10" s="1"/>
  <c r="T45" i="10" s="1"/>
  <c r="F40" i="10"/>
  <c r="R41" i="10"/>
  <c r="BF81" i="10"/>
  <c r="BF101" i="10" a="1"/>
  <c r="BF101" i="10" s="1"/>
  <c r="T44" i="10" s="1"/>
  <c r="O46" i="10"/>
  <c r="D40" i="10"/>
  <c r="D44" i="10"/>
  <c r="E42" i="10"/>
  <c r="BE79" i="10"/>
  <c r="L40" i="10"/>
  <c r="O43" i="10"/>
  <c r="L42" i="10"/>
  <c r="N44" i="10"/>
  <c r="BF83" i="10"/>
  <c r="BF103" i="10" a="1"/>
  <c r="BF103" i="10" s="1"/>
  <c r="T46" i="10" s="1"/>
  <c r="C66" i="17"/>
  <c r="C66" i="18"/>
  <c r="L43" i="10"/>
  <c r="Q41" i="10"/>
  <c r="O42" i="10"/>
  <c r="BE83" i="10"/>
  <c r="S46" i="10"/>
  <c r="R42" i="10"/>
  <c r="H42" i="10"/>
  <c r="BE77" i="10"/>
  <c r="BF78" i="10"/>
  <c r="BF98" i="10" a="1"/>
  <c r="BF98" i="10" s="1"/>
  <c r="T41" i="10" s="1"/>
  <c r="BE81" i="10"/>
  <c r="S44" i="10"/>
  <c r="R45" i="10"/>
  <c r="J41" i="10"/>
  <c r="S43" i="10"/>
  <c r="P43" i="10"/>
  <c r="J44" i="10"/>
  <c r="I42" i="10"/>
  <c r="D171" i="11"/>
  <c r="C66" i="16"/>
  <c r="BK49" i="15"/>
  <c r="BH19" i="15"/>
  <c r="BG20" i="15"/>
  <c r="D169" i="11"/>
  <c r="C66" i="10"/>
  <c r="T66" i="10" s="1"/>
  <c r="AM66" i="10" s="1"/>
  <c r="BF66" i="10" s="1"/>
  <c r="D168" i="11"/>
  <c r="D172" i="11"/>
  <c r="D170" i="11"/>
  <c r="D173" i="11"/>
  <c r="G42" i="10"/>
  <c r="Q42" i="10"/>
  <c r="P42" i="10"/>
  <c r="O45" i="10"/>
  <c r="E41" i="10"/>
  <c r="S45" i="10"/>
  <c r="S41" i="10"/>
  <c r="M43" i="10"/>
  <c r="J40" i="10"/>
  <c r="BE82" i="10"/>
  <c r="H46" i="10"/>
  <c r="I44" i="10"/>
  <c r="F45" i="10"/>
  <c r="Q43" i="10"/>
  <c r="P45" i="10"/>
  <c r="M41" i="10"/>
  <c r="P41" i="10"/>
  <c r="G44" i="10"/>
  <c r="F66" i="17" l="1"/>
  <c r="E66" i="17"/>
  <c r="H66" i="17"/>
  <c r="I66" i="17"/>
  <c r="AB66" i="17" s="1"/>
  <c r="AU66" i="17" s="1"/>
  <c r="J66" i="17"/>
  <c r="G66" i="17"/>
  <c r="K66" i="17"/>
  <c r="L66" i="17"/>
  <c r="AE66" i="17" s="1"/>
  <c r="AX66" i="17" s="1"/>
  <c r="M66" i="17"/>
  <c r="N66" i="17"/>
  <c r="AG66" i="17" s="1"/>
  <c r="AZ66" i="17" s="1"/>
  <c r="D66" i="17"/>
  <c r="W66" i="17" s="1"/>
  <c r="AP66" i="17" s="1"/>
  <c r="O66" i="17"/>
  <c r="AH66" i="17" s="1"/>
  <c r="BA66" i="17" s="1"/>
  <c r="P66" i="17"/>
  <c r="AI66" i="17" s="1"/>
  <c r="BB66" i="17" s="1"/>
  <c r="Q66" i="17"/>
  <c r="AJ66" i="17" s="1"/>
  <c r="BC66" i="17" s="1"/>
  <c r="R66" i="17"/>
  <c r="AK66" i="17" s="1"/>
  <c r="BD66" i="17" s="1"/>
  <c r="T66" i="17"/>
  <c r="AM66" i="17" s="1"/>
  <c r="BF66" i="17" s="1"/>
  <c r="S66" i="17"/>
  <c r="AL66" i="17" s="1"/>
  <c r="BE66" i="17" s="1"/>
  <c r="E66" i="18"/>
  <c r="X66" i="18" s="1"/>
  <c r="AQ66" i="18" s="1"/>
  <c r="F66" i="18"/>
  <c r="Y66" i="18" s="1"/>
  <c r="AR66" i="18" s="1"/>
  <c r="J66" i="18"/>
  <c r="AC66" i="18" s="1"/>
  <c r="AV66" i="18" s="1"/>
  <c r="K66" i="18"/>
  <c r="I66" i="18"/>
  <c r="L66" i="18"/>
  <c r="AE66" i="18" s="1"/>
  <c r="AX66" i="18" s="1"/>
  <c r="G66" i="18"/>
  <c r="Z66" i="18" s="1"/>
  <c r="AS66" i="18" s="1"/>
  <c r="H66" i="18"/>
  <c r="M66" i="18"/>
  <c r="N66" i="18"/>
  <c r="AG66" i="18" s="1"/>
  <c r="AZ66" i="18" s="1"/>
  <c r="O66" i="18"/>
  <c r="P66" i="18"/>
  <c r="AI66" i="18" s="1"/>
  <c r="BB66" i="18" s="1"/>
  <c r="D66" i="18"/>
  <c r="Q66" i="18"/>
  <c r="AJ66" i="18" s="1"/>
  <c r="BC66" i="18" s="1"/>
  <c r="R66" i="18"/>
  <c r="AK66" i="18" s="1"/>
  <c r="BD66" i="18" s="1"/>
  <c r="S66" i="18"/>
  <c r="AL66" i="18" s="1"/>
  <c r="BE66" i="18" s="1"/>
  <c r="T66" i="18"/>
  <c r="AM66" i="18" s="1"/>
  <c r="BF66" i="18" s="1"/>
  <c r="E66" i="10"/>
  <c r="X66" i="10" s="1"/>
  <c r="AQ66" i="10" s="1"/>
  <c r="F66" i="10"/>
  <c r="Y66" i="10" s="1"/>
  <c r="AR66" i="10" s="1"/>
  <c r="H66" i="10"/>
  <c r="AA66" i="10" s="1"/>
  <c r="AT66" i="10" s="1"/>
  <c r="G66" i="10"/>
  <c r="Z66" i="10" s="1"/>
  <c r="AS66" i="10" s="1"/>
  <c r="BK82" i="15"/>
  <c r="BK83" i="15"/>
  <c r="BK84" i="15"/>
  <c r="BK85" i="15"/>
  <c r="BJ86" i="15"/>
  <c r="AA66" i="17"/>
  <c r="AT66" i="17" s="1"/>
  <c r="C72" i="17"/>
  <c r="C72" i="18"/>
  <c r="Z66" i="17"/>
  <c r="AS66" i="17" s="1"/>
  <c r="C69" i="17"/>
  <c r="C69" i="18"/>
  <c r="C71" i="17"/>
  <c r="C71" i="18"/>
  <c r="AD66" i="17"/>
  <c r="AW66" i="17" s="1"/>
  <c r="AF66" i="17"/>
  <c r="AY66" i="17" s="1"/>
  <c r="C68" i="17"/>
  <c r="C68" i="18"/>
  <c r="X66" i="17"/>
  <c r="AQ66" i="17" s="1"/>
  <c r="Q66" i="10"/>
  <c r="AJ66" i="10" s="1"/>
  <c r="BC66" i="10" s="1"/>
  <c r="P66" i="10"/>
  <c r="AI66" i="10" s="1"/>
  <c r="BB66" i="10" s="1"/>
  <c r="O66" i="10"/>
  <c r="AH66" i="10" s="1"/>
  <c r="BA66" i="10" s="1"/>
  <c r="C70" i="17"/>
  <c r="C70" i="18"/>
  <c r="M66" i="10"/>
  <c r="AF66" i="10" s="1"/>
  <c r="AY66" i="10" s="1"/>
  <c r="R66" i="10"/>
  <c r="AK66" i="10" s="1"/>
  <c r="BD66" i="10" s="1"/>
  <c r="AC66" i="17"/>
  <c r="AV66" i="17" s="1"/>
  <c r="N66" i="10"/>
  <c r="AG66" i="10" s="1"/>
  <c r="AZ66" i="10" s="1"/>
  <c r="Y66" i="17"/>
  <c r="AR66" i="17" s="1"/>
  <c r="D66" i="10"/>
  <c r="W66" i="10" s="1"/>
  <c r="AP66" i="10" s="1"/>
  <c r="C67" i="17"/>
  <c r="C67" i="18"/>
  <c r="S66" i="10"/>
  <c r="AL66" i="10" s="1"/>
  <c r="BE66" i="10" s="1"/>
  <c r="L66" i="10"/>
  <c r="AE66" i="10" s="1"/>
  <c r="AX66" i="10" s="1"/>
  <c r="K66" i="10"/>
  <c r="AD66" i="10" s="1"/>
  <c r="AW66" i="10" s="1"/>
  <c r="J66" i="10"/>
  <c r="AC66" i="10" s="1"/>
  <c r="AV66" i="10" s="1"/>
  <c r="I66" i="10"/>
  <c r="AB66" i="10" s="1"/>
  <c r="AU66" i="10" s="1"/>
  <c r="AH66" i="18"/>
  <c r="BA66" i="18" s="1"/>
  <c r="W66" i="18"/>
  <c r="AP66" i="18" s="1"/>
  <c r="AF66" i="18"/>
  <c r="AY66" i="18" s="1"/>
  <c r="AB66" i="18"/>
  <c r="AU66" i="18" s="1"/>
  <c r="AD66" i="18"/>
  <c r="AW66" i="18" s="1"/>
  <c r="AA66" i="18"/>
  <c r="AT66" i="18" s="1"/>
  <c r="C72" i="10"/>
  <c r="C72" i="16"/>
  <c r="C69" i="10"/>
  <c r="C69" i="16"/>
  <c r="C71" i="10"/>
  <c r="C71" i="16"/>
  <c r="C67" i="10"/>
  <c r="C67" i="16"/>
  <c r="C68" i="10"/>
  <c r="C68" i="16"/>
  <c r="G66" i="16"/>
  <c r="Z66" i="16" s="1"/>
  <c r="AS66" i="16" s="1"/>
  <c r="E66" i="16"/>
  <c r="X66" i="16" s="1"/>
  <c r="AQ66" i="16" s="1"/>
  <c r="I66" i="16"/>
  <c r="AB66" i="16" s="1"/>
  <c r="AU66" i="16" s="1"/>
  <c r="K66" i="16"/>
  <c r="AD66" i="16" s="1"/>
  <c r="AW66" i="16" s="1"/>
  <c r="D66" i="16"/>
  <c r="W66" i="16" s="1"/>
  <c r="AP66" i="16" s="1"/>
  <c r="M66" i="16"/>
  <c r="AF66" i="16" s="1"/>
  <c r="AY66" i="16" s="1"/>
  <c r="O66" i="16"/>
  <c r="AH66" i="16" s="1"/>
  <c r="BA66" i="16" s="1"/>
  <c r="Q66" i="16"/>
  <c r="AJ66" i="16" s="1"/>
  <c r="BC66" i="16" s="1"/>
  <c r="T66" i="16"/>
  <c r="AM66" i="16" s="1"/>
  <c r="BF66" i="16" s="1"/>
  <c r="P66" i="16"/>
  <c r="AI66" i="16" s="1"/>
  <c r="BB66" i="16" s="1"/>
  <c r="S66" i="16"/>
  <c r="AL66" i="16" s="1"/>
  <c r="BE66" i="16" s="1"/>
  <c r="F66" i="16"/>
  <c r="Y66" i="16" s="1"/>
  <c r="AR66" i="16" s="1"/>
  <c r="H66" i="16"/>
  <c r="AA66" i="16" s="1"/>
  <c r="AT66" i="16" s="1"/>
  <c r="L66" i="16"/>
  <c r="AE66" i="16" s="1"/>
  <c r="AX66" i="16" s="1"/>
  <c r="R66" i="16"/>
  <c r="AK66" i="16" s="1"/>
  <c r="BD66" i="16" s="1"/>
  <c r="N66" i="16"/>
  <c r="AG66" i="16" s="1"/>
  <c r="AZ66" i="16" s="1"/>
  <c r="J66" i="16"/>
  <c r="AC66" i="16" s="1"/>
  <c r="AV66" i="16" s="1"/>
  <c r="C70" i="10"/>
  <c r="C70" i="16"/>
  <c r="BI19" i="15"/>
  <c r="BH20" i="15"/>
  <c r="AQ106" i="17" l="1" a="1"/>
  <c r="AQ106" i="17" s="1"/>
  <c r="BC106" i="16" a="1"/>
  <c r="BC106" i="16" s="1"/>
  <c r="BA106" i="16" a="1"/>
  <c r="BA106" i="16" s="1"/>
  <c r="BB106" i="10" a="1"/>
  <c r="BB106" i="10" s="1"/>
  <c r="AY106" i="16" a="1"/>
  <c r="AY106" i="16" s="1"/>
  <c r="AV106" i="18" a="1"/>
  <c r="AV106" i="18" s="1"/>
  <c r="BA106" i="10" a="1"/>
  <c r="BA106" i="10" s="1"/>
  <c r="AS106" i="10" a="1"/>
  <c r="AS106" i="10" s="1"/>
  <c r="BC106" i="10" a="1"/>
  <c r="BC106" i="10" s="1"/>
  <c r="AT106" i="10" a="1"/>
  <c r="AT106" i="10" s="1"/>
  <c r="AU85" i="17"/>
  <c r="BE106" i="17" a="1"/>
  <c r="BE106" i="17" s="1"/>
  <c r="AR106" i="10" a="1"/>
  <c r="AR106" i="10" s="1"/>
  <c r="AQ106" i="10" a="1"/>
  <c r="AQ106" i="10" s="1"/>
  <c r="BD106" i="17" a="1"/>
  <c r="BD106" i="17" s="1"/>
  <c r="AU106" i="10" a="1"/>
  <c r="AU106" i="10" s="1"/>
  <c r="BC106" i="17" a="1"/>
  <c r="BC106" i="17" s="1"/>
  <c r="AY106" i="17" a="1"/>
  <c r="AY106" i="17" s="1"/>
  <c r="M47" i="17" s="1"/>
  <c r="BB106" i="17" a="1"/>
  <c r="BB106" i="17" s="1"/>
  <c r="P47" i="17" s="1"/>
  <c r="AW106" i="17" a="1"/>
  <c r="AW106" i="17" s="1"/>
  <c r="K47" i="17" s="1"/>
  <c r="BA106" i="17" a="1"/>
  <c r="BA106" i="17" s="1"/>
  <c r="O47" i="17" s="1"/>
  <c r="AX106" i="10" a="1"/>
  <c r="AX106" i="10" s="1"/>
  <c r="L47" i="10" s="1"/>
  <c r="AP106" i="17" a="1"/>
  <c r="AP106" i="17" s="1"/>
  <c r="D47" i="17" s="1"/>
  <c r="AQ106" i="16" a="1"/>
  <c r="AQ106" i="16" s="1"/>
  <c r="AZ106" i="17" a="1"/>
  <c r="AZ106" i="17" s="1"/>
  <c r="AS106" i="16" a="1"/>
  <c r="AS106" i="16" s="1"/>
  <c r="BE106" i="10" a="1"/>
  <c r="BE106" i="10" s="1"/>
  <c r="AU106" i="16" a="1"/>
  <c r="AU106" i="16" s="1"/>
  <c r="AV106" i="16" a="1"/>
  <c r="AV106" i="16" s="1"/>
  <c r="AX106" i="17" a="1"/>
  <c r="AX106" i="17" s="1"/>
  <c r="AP106" i="16" a="1"/>
  <c r="AP106" i="16" s="1"/>
  <c r="AP106" i="10" a="1"/>
  <c r="AP106" i="10" s="1"/>
  <c r="AS106" i="17" a="1"/>
  <c r="AS106" i="17" s="1"/>
  <c r="BD106" i="16" a="1"/>
  <c r="BD106" i="16" s="1"/>
  <c r="AR106" i="17" a="1"/>
  <c r="AR106" i="17" s="1"/>
  <c r="AW106" i="10" a="1"/>
  <c r="AW106" i="10" s="1"/>
  <c r="AX106" i="16" a="1"/>
  <c r="AX106" i="16" s="1"/>
  <c r="AZ106" i="10" a="1"/>
  <c r="AZ106" i="10" s="1"/>
  <c r="AV106" i="10" a="1"/>
  <c r="AV106" i="10" s="1"/>
  <c r="J47" i="10" s="1"/>
  <c r="AV106" i="17" a="1"/>
  <c r="AV106" i="17" s="1"/>
  <c r="J47" i="17" s="1"/>
  <c r="AU106" i="17" a="1"/>
  <c r="AU106" i="17" s="1"/>
  <c r="I47" i="17" s="1"/>
  <c r="AT106" i="16" a="1"/>
  <c r="AT106" i="16" s="1"/>
  <c r="H47" i="16" s="1"/>
  <c r="AR106" i="16" a="1"/>
  <c r="AR106" i="16" s="1"/>
  <c r="F47" i="16" s="1"/>
  <c r="BD106" i="10" a="1"/>
  <c r="BD106" i="10" s="1"/>
  <c r="AW106" i="16" a="1"/>
  <c r="AW106" i="16" s="1"/>
  <c r="BE106" i="16" a="1"/>
  <c r="BE106" i="16" s="1"/>
  <c r="AY106" i="10" a="1"/>
  <c r="AY106" i="10" s="1"/>
  <c r="AZ106" i="16" a="1"/>
  <c r="AZ106" i="16" s="1"/>
  <c r="AT106" i="17" a="1"/>
  <c r="AT106" i="17" s="1"/>
  <c r="BB106" i="16" a="1"/>
  <c r="BB106" i="16" s="1"/>
  <c r="BA106" i="18" a="1"/>
  <c r="BA106" i="18" s="1"/>
  <c r="BB106" i="18" a="1"/>
  <c r="BB106" i="18" s="1"/>
  <c r="BC106" i="18" a="1"/>
  <c r="BC106" i="18" s="1"/>
  <c r="BD106" i="18" a="1"/>
  <c r="BD106" i="18" s="1"/>
  <c r="AP106" i="18" a="1"/>
  <c r="AP106" i="18" s="1"/>
  <c r="AQ106" i="18" a="1"/>
  <c r="AQ106" i="18" s="1"/>
  <c r="AR106" i="18" a="1"/>
  <c r="AR106" i="18" s="1"/>
  <c r="AT106" i="18" a="1"/>
  <c r="AT106" i="18" s="1"/>
  <c r="H47" i="18" s="1"/>
  <c r="AW106" i="18" a="1"/>
  <c r="AW106" i="18" s="1"/>
  <c r="K47" i="18" s="1"/>
  <c r="AZ106" i="18" a="1"/>
  <c r="AZ106" i="18" s="1"/>
  <c r="N47" i="18" s="1"/>
  <c r="BE106" i="18" a="1"/>
  <c r="BE106" i="18" s="1"/>
  <c r="S47" i="18" s="1"/>
  <c r="AS106" i="18" a="1"/>
  <c r="AS106" i="18" s="1"/>
  <c r="G47" i="18" s="1"/>
  <c r="AU106" i="18" a="1"/>
  <c r="AU106" i="18" s="1"/>
  <c r="I47" i="18" s="1"/>
  <c r="AY106" i="18" a="1"/>
  <c r="AY106" i="18" s="1"/>
  <c r="AX106" i="18" a="1"/>
  <c r="AX106" i="18" s="1"/>
  <c r="BF85" i="17"/>
  <c r="AT85" i="10"/>
  <c r="F67" i="17"/>
  <c r="Y67" i="17" s="1"/>
  <c r="AR67" i="17" s="1"/>
  <c r="AR107" i="17" s="1" a="1"/>
  <c r="AR107" i="17" s="1"/>
  <c r="E67" i="17"/>
  <c r="X67" i="17" s="1"/>
  <c r="AQ67" i="17" s="1"/>
  <c r="AQ107" i="17" s="1" a="1"/>
  <c r="AQ107" i="17" s="1"/>
  <c r="I67" i="17"/>
  <c r="AB67" i="17" s="1"/>
  <c r="AU67" i="17" s="1"/>
  <c r="AU107" i="17" s="1" a="1"/>
  <c r="AU107" i="17" s="1"/>
  <c r="G67" i="17"/>
  <c r="Z67" i="17" s="1"/>
  <c r="AS67" i="17" s="1"/>
  <c r="AS107" i="17" s="1" a="1"/>
  <c r="AS107" i="17" s="1"/>
  <c r="H67" i="17"/>
  <c r="AA67" i="17" s="1"/>
  <c r="AT67" i="17" s="1"/>
  <c r="AT107" i="17" s="1" a="1"/>
  <c r="AT107" i="17" s="1"/>
  <c r="J67" i="17"/>
  <c r="AC67" i="17" s="1"/>
  <c r="AV67" i="17" s="1"/>
  <c r="AV107" i="17" s="1" a="1"/>
  <c r="AV107" i="17" s="1"/>
  <c r="L67" i="17"/>
  <c r="AE67" i="17" s="1"/>
  <c r="AX67" i="17" s="1"/>
  <c r="AX107" i="17" s="1" a="1"/>
  <c r="AX107" i="17" s="1"/>
  <c r="K67" i="17"/>
  <c r="AD67" i="17" s="1"/>
  <c r="AW67" i="17" s="1"/>
  <c r="AW107" i="17" s="1" a="1"/>
  <c r="AW107" i="17" s="1"/>
  <c r="M67" i="17"/>
  <c r="AF67" i="17" s="1"/>
  <c r="AY67" i="17" s="1"/>
  <c r="AY107" i="17" s="1" a="1"/>
  <c r="AY107" i="17" s="1"/>
  <c r="D67" i="17"/>
  <c r="W67" i="17" s="1"/>
  <c r="AP67" i="17" s="1"/>
  <c r="AP107" i="17" s="1" a="1"/>
  <c r="AP107" i="17" s="1"/>
  <c r="N67" i="17"/>
  <c r="AG67" i="17" s="1"/>
  <c r="AZ67" i="17" s="1"/>
  <c r="AZ107" i="17" s="1" a="1"/>
  <c r="AZ107" i="17" s="1"/>
  <c r="N48" i="17" s="1"/>
  <c r="O67" i="17"/>
  <c r="AH67" i="17" s="1"/>
  <c r="BA67" i="17" s="1"/>
  <c r="BA107" i="17" s="1" a="1"/>
  <c r="BA107" i="17" s="1"/>
  <c r="O48" i="17" s="1"/>
  <c r="P67" i="17"/>
  <c r="AI67" i="17" s="1"/>
  <c r="BB67" i="17" s="1"/>
  <c r="BB107" i="17" s="1" a="1"/>
  <c r="BB107" i="17" s="1"/>
  <c r="P48" i="17" s="1"/>
  <c r="Q67" i="17"/>
  <c r="AJ67" i="17" s="1"/>
  <c r="BC67" i="17" s="1"/>
  <c r="BC107" i="17" s="1" a="1"/>
  <c r="BC107" i="17" s="1"/>
  <c r="Q48" i="17" s="1"/>
  <c r="R67" i="17"/>
  <c r="AK67" i="17" s="1"/>
  <c r="BD67" i="17" s="1"/>
  <c r="BD107" i="17" s="1" a="1"/>
  <c r="BD107" i="17" s="1"/>
  <c r="R48" i="17" s="1"/>
  <c r="T67" i="17"/>
  <c r="AM67" i="17" s="1"/>
  <c r="BF67" i="17" s="1"/>
  <c r="BF107" i="17" s="1" a="1"/>
  <c r="BF107" i="17" s="1"/>
  <c r="T48" i="17" s="1"/>
  <c r="S67" i="17"/>
  <c r="AL67" i="17" s="1"/>
  <c r="BE67" i="17" s="1"/>
  <c r="F68" i="17"/>
  <c r="E68" i="17"/>
  <c r="X68" i="17" s="1"/>
  <c r="AQ68" i="17" s="1"/>
  <c r="AQ108" i="17" s="1" a="1"/>
  <c r="AQ108" i="17" s="1"/>
  <c r="H68" i="17"/>
  <c r="J68" i="17"/>
  <c r="G68" i="17"/>
  <c r="I68" i="17"/>
  <c r="L68" i="17"/>
  <c r="K68" i="17"/>
  <c r="M68" i="17"/>
  <c r="N68" i="17"/>
  <c r="D68" i="17"/>
  <c r="W68" i="17" s="1"/>
  <c r="AP68" i="17" s="1"/>
  <c r="O68" i="17"/>
  <c r="P68" i="17"/>
  <c r="Q68" i="17"/>
  <c r="AJ68" i="17" s="1"/>
  <c r="BC68" i="17" s="1"/>
  <c r="R68" i="17"/>
  <c r="AK68" i="17" s="1"/>
  <c r="BD68" i="17" s="1"/>
  <c r="S68" i="17"/>
  <c r="AL68" i="17" s="1"/>
  <c r="BE68" i="17" s="1"/>
  <c r="T68" i="17"/>
  <c r="AM68" i="17" s="1"/>
  <c r="BF68" i="17" s="1"/>
  <c r="BF108" i="17" s="1" a="1"/>
  <c r="BF108" i="17" s="1"/>
  <c r="T49" i="17" s="1"/>
  <c r="E67" i="18"/>
  <c r="X67" i="18" s="1"/>
  <c r="AQ67" i="18" s="1"/>
  <c r="AQ107" i="18" s="1" a="1"/>
  <c r="AQ107" i="18" s="1"/>
  <c r="F67" i="18"/>
  <c r="Y67" i="18" s="1"/>
  <c r="AR67" i="18" s="1"/>
  <c r="AR107" i="18" s="1" a="1"/>
  <c r="AR107" i="18" s="1"/>
  <c r="K67" i="18"/>
  <c r="AD67" i="18" s="1"/>
  <c r="AW67" i="18" s="1"/>
  <c r="AW107" i="18" s="1" a="1"/>
  <c r="AW107" i="18" s="1"/>
  <c r="I67" i="18"/>
  <c r="J67" i="18"/>
  <c r="AC67" i="18" s="1"/>
  <c r="AV67" i="18" s="1"/>
  <c r="AV107" i="18" s="1" a="1"/>
  <c r="AV107" i="18" s="1"/>
  <c r="L67" i="18"/>
  <c r="G67" i="18"/>
  <c r="H67" i="18"/>
  <c r="M67" i="18"/>
  <c r="N67" i="18"/>
  <c r="O67" i="18"/>
  <c r="D67" i="18"/>
  <c r="P67" i="18"/>
  <c r="Q67" i="18"/>
  <c r="R67" i="18"/>
  <c r="T67" i="18"/>
  <c r="AM67" i="18" s="1"/>
  <c r="BF67" i="18" s="1"/>
  <c r="S67" i="18"/>
  <c r="AL67" i="18" s="1"/>
  <c r="BE67" i="18" s="1"/>
  <c r="BE107" i="18" s="1" a="1"/>
  <c r="BE107" i="18" s="1"/>
  <c r="E71" i="18"/>
  <c r="X71" i="18" s="1"/>
  <c r="AQ71" i="18" s="1"/>
  <c r="AQ111" i="18" s="1" a="1"/>
  <c r="AQ111" i="18" s="1"/>
  <c r="F71" i="18"/>
  <c r="Y71" i="18" s="1"/>
  <c r="AR71" i="18" s="1"/>
  <c r="AR111" i="18" s="1" a="1"/>
  <c r="AR111" i="18" s="1"/>
  <c r="L71" i="18"/>
  <c r="AE71" i="18" s="1"/>
  <c r="AX71" i="18" s="1"/>
  <c r="AX111" i="18" s="1" a="1"/>
  <c r="AX111" i="18" s="1"/>
  <c r="I71" i="18"/>
  <c r="AB71" i="18" s="1"/>
  <c r="AU71" i="18" s="1"/>
  <c r="AU111" i="18" s="1" a="1"/>
  <c r="AU111" i="18" s="1"/>
  <c r="K71" i="18"/>
  <c r="AD71" i="18" s="1"/>
  <c r="AW71" i="18" s="1"/>
  <c r="AW111" i="18" s="1" a="1"/>
  <c r="AW111" i="18" s="1"/>
  <c r="J71" i="18"/>
  <c r="AC71" i="18" s="1"/>
  <c r="AV71" i="18" s="1"/>
  <c r="AV111" i="18" s="1" a="1"/>
  <c r="AV111" i="18" s="1"/>
  <c r="G71" i="18"/>
  <c r="Z71" i="18" s="1"/>
  <c r="AS71" i="18" s="1"/>
  <c r="AS111" i="18" s="1" a="1"/>
  <c r="AS111" i="18" s="1"/>
  <c r="H71" i="18"/>
  <c r="AA71" i="18" s="1"/>
  <c r="AT71" i="18" s="1"/>
  <c r="AT111" i="18" s="1" a="1"/>
  <c r="AT111" i="18" s="1"/>
  <c r="M71" i="18"/>
  <c r="N71" i="18"/>
  <c r="O71" i="18"/>
  <c r="D71" i="18"/>
  <c r="P71" i="18"/>
  <c r="Q71" i="18"/>
  <c r="R71" i="18"/>
  <c r="S71" i="18"/>
  <c r="T71" i="18"/>
  <c r="AM71" i="18" s="1"/>
  <c r="BF71" i="18" s="1"/>
  <c r="E71" i="17"/>
  <c r="F71" i="17"/>
  <c r="Y71" i="17" s="1"/>
  <c r="AR71" i="17" s="1"/>
  <c r="AR111" i="17" s="1" a="1"/>
  <c r="AR111" i="17" s="1"/>
  <c r="J71" i="17"/>
  <c r="AC71" i="17" s="1"/>
  <c r="AV71" i="17" s="1"/>
  <c r="G71" i="17"/>
  <c r="Z71" i="17" s="1"/>
  <c r="AS71" i="17" s="1"/>
  <c r="I71" i="17"/>
  <c r="AB71" i="17" s="1"/>
  <c r="AU71" i="17" s="1"/>
  <c r="H71" i="17"/>
  <c r="AA71" i="17" s="1"/>
  <c r="AT71" i="17" s="1"/>
  <c r="AT111" i="17" s="1" a="1"/>
  <c r="AT111" i="17" s="1"/>
  <c r="K71" i="17"/>
  <c r="AD71" i="17" s="1"/>
  <c r="AW71" i="17" s="1"/>
  <c r="L71" i="17"/>
  <c r="AE71" i="17" s="1"/>
  <c r="AX71" i="17" s="1"/>
  <c r="M71" i="17"/>
  <c r="AF71" i="17" s="1"/>
  <c r="AY71" i="17" s="1"/>
  <c r="AY111" i="17" s="1" a="1"/>
  <c r="AY111" i="17" s="1"/>
  <c r="N71" i="17"/>
  <c r="AG71" i="17" s="1"/>
  <c r="AZ71" i="17" s="1"/>
  <c r="D71" i="17"/>
  <c r="W71" i="17" s="1"/>
  <c r="AP71" i="17" s="1"/>
  <c r="AP111" i="17" s="1" a="1"/>
  <c r="AP111" i="17" s="1"/>
  <c r="O71" i="17"/>
  <c r="P71" i="17"/>
  <c r="Q71" i="17"/>
  <c r="AJ71" i="17" s="1"/>
  <c r="BC71" i="17" s="1"/>
  <c r="R71" i="17"/>
  <c r="S71" i="17"/>
  <c r="T71" i="17"/>
  <c r="AM71" i="17" s="1"/>
  <c r="BF71" i="17" s="1"/>
  <c r="BF91" i="17" s="1"/>
  <c r="E69" i="18"/>
  <c r="X69" i="18" s="1"/>
  <c r="AQ69" i="18" s="1"/>
  <c r="AQ109" i="18" s="1" a="1"/>
  <c r="AQ109" i="18" s="1"/>
  <c r="F69" i="18"/>
  <c r="K69" i="18"/>
  <c r="J69" i="18"/>
  <c r="L69" i="18"/>
  <c r="I69" i="18"/>
  <c r="AB69" i="18" s="1"/>
  <c r="AU69" i="18" s="1"/>
  <c r="AU109" i="18" s="1" a="1"/>
  <c r="AU109" i="18" s="1"/>
  <c r="H69" i="18"/>
  <c r="AA69" i="18" s="1"/>
  <c r="AT69" i="18" s="1"/>
  <c r="AT109" i="18" s="1" a="1"/>
  <c r="AT109" i="18" s="1"/>
  <c r="G69" i="18"/>
  <c r="Z69" i="18" s="1"/>
  <c r="AS69" i="18" s="1"/>
  <c r="AS109" i="18" s="1" a="1"/>
  <c r="AS109" i="18" s="1"/>
  <c r="N69" i="18"/>
  <c r="AG69" i="18" s="1"/>
  <c r="AZ69" i="18" s="1"/>
  <c r="AZ109" i="18" s="1" a="1"/>
  <c r="AZ109" i="18" s="1"/>
  <c r="M69" i="18"/>
  <c r="AF69" i="18" s="1"/>
  <c r="AY69" i="18" s="1"/>
  <c r="AY109" i="18" s="1" a="1"/>
  <c r="AY109" i="18" s="1"/>
  <c r="O69" i="18"/>
  <c r="AH69" i="18" s="1"/>
  <c r="BA69" i="18" s="1"/>
  <c r="BA109" i="18" s="1" a="1"/>
  <c r="BA109" i="18" s="1"/>
  <c r="P69" i="18"/>
  <c r="AI69" i="18" s="1"/>
  <c r="BB69" i="18" s="1"/>
  <c r="BB109" i="18" s="1" a="1"/>
  <c r="BB109" i="18" s="1"/>
  <c r="D69" i="18"/>
  <c r="W69" i="18" s="1"/>
  <c r="AP69" i="18" s="1"/>
  <c r="AP109" i="18" s="1" a="1"/>
  <c r="AP109" i="18" s="1"/>
  <c r="Q69" i="18"/>
  <c r="AJ69" i="18" s="1"/>
  <c r="BC69" i="18" s="1"/>
  <c r="BC109" i="18" s="1" a="1"/>
  <c r="BC109" i="18" s="1"/>
  <c r="R69" i="18"/>
  <c r="T69" i="18"/>
  <c r="S69" i="18"/>
  <c r="E68" i="18"/>
  <c r="F68" i="18"/>
  <c r="L68" i="18"/>
  <c r="J68" i="18"/>
  <c r="AC68" i="18" s="1"/>
  <c r="AV68" i="18" s="1"/>
  <c r="AV108" i="18" s="1" a="1"/>
  <c r="AV108" i="18" s="1"/>
  <c r="K68" i="18"/>
  <c r="I68" i="18"/>
  <c r="G68" i="18"/>
  <c r="H68" i="18"/>
  <c r="M68" i="18"/>
  <c r="AF68" i="18" s="1"/>
  <c r="AY68" i="18" s="1"/>
  <c r="AY108" i="18" s="1" a="1"/>
  <c r="AY108" i="18" s="1"/>
  <c r="N68" i="18"/>
  <c r="AG68" i="18" s="1"/>
  <c r="AZ68" i="18" s="1"/>
  <c r="AZ108" i="18" s="1" a="1"/>
  <c r="AZ108" i="18" s="1"/>
  <c r="O68" i="18"/>
  <c r="AH68" i="18" s="1"/>
  <c r="BA68" i="18" s="1"/>
  <c r="BA108" i="18" s="1" a="1"/>
  <c r="BA108" i="18" s="1"/>
  <c r="D68" i="18"/>
  <c r="W68" i="18" s="1"/>
  <c r="AP68" i="18" s="1"/>
  <c r="AP108" i="18" s="1" a="1"/>
  <c r="AP108" i="18" s="1"/>
  <c r="P68" i="18"/>
  <c r="AI68" i="18" s="1"/>
  <c r="BB68" i="18" s="1"/>
  <c r="BB108" i="18" s="1" a="1"/>
  <c r="BB108" i="18" s="1"/>
  <c r="Q68" i="18"/>
  <c r="AJ68" i="18" s="1"/>
  <c r="BC68" i="18" s="1"/>
  <c r="BC108" i="18" s="1" a="1"/>
  <c r="BC108" i="18" s="1"/>
  <c r="R68" i="18"/>
  <c r="AK68" i="18" s="1"/>
  <c r="BD68" i="18" s="1"/>
  <c r="BD108" i="18" s="1" a="1"/>
  <c r="BD108" i="18" s="1"/>
  <c r="T68" i="18"/>
  <c r="AM68" i="18" s="1"/>
  <c r="BF68" i="18" s="1"/>
  <c r="S68" i="18"/>
  <c r="AL68" i="18" s="1"/>
  <c r="BE68" i="18" s="1"/>
  <c r="BE108" i="18" s="1" a="1"/>
  <c r="BE108" i="18" s="1"/>
  <c r="F69" i="17"/>
  <c r="E69" i="17"/>
  <c r="G69" i="17"/>
  <c r="H69" i="17"/>
  <c r="J69" i="17"/>
  <c r="I69" i="17"/>
  <c r="K69" i="17"/>
  <c r="AD69" i="17" s="1"/>
  <c r="AW69" i="17" s="1"/>
  <c r="L69" i="17"/>
  <c r="AE69" i="17" s="1"/>
  <c r="AX69" i="17" s="1"/>
  <c r="AX109" i="17" s="1" a="1"/>
  <c r="AX109" i="17" s="1"/>
  <c r="M69" i="17"/>
  <c r="N69" i="17"/>
  <c r="AG69" i="17" s="1"/>
  <c r="AZ69" i="17" s="1"/>
  <c r="D69" i="17"/>
  <c r="O69" i="17"/>
  <c r="AH69" i="17" s="1"/>
  <c r="BA69" i="17" s="1"/>
  <c r="P69" i="17"/>
  <c r="AI69" i="17" s="1"/>
  <c r="BB69" i="17" s="1"/>
  <c r="BB109" i="17" s="1" a="1"/>
  <c r="BB109" i="17" s="1"/>
  <c r="Q69" i="17"/>
  <c r="AJ69" i="17" s="1"/>
  <c r="BC69" i="17" s="1"/>
  <c r="R69" i="17"/>
  <c r="AK69" i="17" s="1"/>
  <c r="BD69" i="17" s="1"/>
  <c r="S69" i="17"/>
  <c r="AL69" i="17" s="1"/>
  <c r="BE69" i="17" s="1"/>
  <c r="T69" i="17"/>
  <c r="AM69" i="17" s="1"/>
  <c r="BF69" i="17" s="1"/>
  <c r="F72" i="18"/>
  <c r="Y72" i="18" s="1"/>
  <c r="AR72" i="18" s="1"/>
  <c r="AR112" i="18" s="1" a="1"/>
  <c r="AR112" i="18" s="1"/>
  <c r="E72" i="18"/>
  <c r="L72" i="18"/>
  <c r="AE72" i="18" s="1"/>
  <c r="AX72" i="18" s="1"/>
  <c r="AX112" i="18" s="1" a="1"/>
  <c r="AX112" i="18" s="1"/>
  <c r="J72" i="18"/>
  <c r="I72" i="18"/>
  <c r="K72" i="18"/>
  <c r="G72" i="18"/>
  <c r="H72" i="18"/>
  <c r="M72" i="18"/>
  <c r="N72" i="18"/>
  <c r="AG72" i="18" s="1"/>
  <c r="AZ72" i="18" s="1"/>
  <c r="AZ112" i="18" s="1" a="1"/>
  <c r="AZ112" i="18" s="1"/>
  <c r="O72" i="18"/>
  <c r="P72" i="18"/>
  <c r="D72" i="18"/>
  <c r="Q72" i="18"/>
  <c r="R72" i="18"/>
  <c r="AK72" i="18" s="1"/>
  <c r="BD72" i="18" s="1"/>
  <c r="BD112" i="18" s="1" a="1"/>
  <c r="BD112" i="18" s="1"/>
  <c r="S72" i="18"/>
  <c r="AL72" i="18" s="1"/>
  <c r="BE72" i="18" s="1"/>
  <c r="BE112" i="18" s="1" a="1"/>
  <c r="BE112" i="18" s="1"/>
  <c r="T72" i="18"/>
  <c r="AM72" i="18" s="1"/>
  <c r="BF72" i="18" s="1"/>
  <c r="F70" i="18"/>
  <c r="Y70" i="18" s="1"/>
  <c r="AR70" i="18" s="1"/>
  <c r="AR110" i="18" s="1" a="1"/>
  <c r="AR110" i="18" s="1"/>
  <c r="E70" i="18"/>
  <c r="X70" i="18" s="1"/>
  <c r="AQ70" i="18" s="1"/>
  <c r="AQ110" i="18" s="1" a="1"/>
  <c r="AQ110" i="18" s="1"/>
  <c r="I70" i="18"/>
  <c r="AB70" i="18" s="1"/>
  <c r="AU70" i="18" s="1"/>
  <c r="AU110" i="18" s="1" a="1"/>
  <c r="AU110" i="18" s="1"/>
  <c r="J70" i="18"/>
  <c r="AC70" i="18" s="1"/>
  <c r="AV70" i="18" s="1"/>
  <c r="AV110" i="18" s="1" a="1"/>
  <c r="AV110" i="18" s="1"/>
  <c r="L70" i="18"/>
  <c r="K70" i="18"/>
  <c r="AD70" i="18" s="1"/>
  <c r="AW70" i="18" s="1"/>
  <c r="AW110" i="18" s="1" a="1"/>
  <c r="AW110" i="18" s="1"/>
  <c r="G70" i="18"/>
  <c r="H70" i="18"/>
  <c r="N70" i="18"/>
  <c r="M70" i="18"/>
  <c r="O70" i="18"/>
  <c r="D70" i="18"/>
  <c r="P70" i="18"/>
  <c r="AI70" i="18" s="1"/>
  <c r="BB70" i="18" s="1"/>
  <c r="BB110" i="18" s="1" a="1"/>
  <c r="BB110" i="18" s="1"/>
  <c r="Q70" i="18"/>
  <c r="R70" i="18"/>
  <c r="T70" i="18"/>
  <c r="AM70" i="18" s="1"/>
  <c r="BF70" i="18" s="1"/>
  <c r="S70" i="18"/>
  <c r="AG72" i="17"/>
  <c r="AZ72" i="17" s="1"/>
  <c r="AZ112" i="17" s="1" a="1"/>
  <c r="AZ112" i="17" s="1"/>
  <c r="N53" i="17" s="1"/>
  <c r="E72" i="17"/>
  <c r="X72" i="17" s="1"/>
  <c r="AQ72" i="17" s="1"/>
  <c r="AQ112" i="17" s="1" a="1"/>
  <c r="AQ112" i="17" s="1"/>
  <c r="E53" i="17" s="1"/>
  <c r="F72" i="17"/>
  <c r="Y72" i="17" s="1"/>
  <c r="AR72" i="17" s="1"/>
  <c r="AR112" i="17" s="1" a="1"/>
  <c r="AR112" i="17" s="1"/>
  <c r="F53" i="17" s="1"/>
  <c r="J72" i="17"/>
  <c r="AC72" i="17" s="1"/>
  <c r="AV72" i="17" s="1"/>
  <c r="AV112" i="17" s="1" a="1"/>
  <c r="AV112" i="17" s="1"/>
  <c r="J53" i="17" s="1"/>
  <c r="H72" i="17"/>
  <c r="AA72" i="17" s="1"/>
  <c r="AT72" i="17" s="1"/>
  <c r="AT112" i="17" s="1" a="1"/>
  <c r="AT112" i="17" s="1"/>
  <c r="H53" i="17" s="1"/>
  <c r="G72" i="17"/>
  <c r="Z72" i="17" s="1"/>
  <c r="AS72" i="17" s="1"/>
  <c r="I72" i="17"/>
  <c r="AB72" i="17" s="1"/>
  <c r="AU72" i="17" s="1"/>
  <c r="K72" i="17"/>
  <c r="AD72" i="17" s="1"/>
  <c r="AW72" i="17" s="1"/>
  <c r="AW112" i="17" s="1" a="1"/>
  <c r="AW112" i="17" s="1"/>
  <c r="L72" i="17"/>
  <c r="AE72" i="17" s="1"/>
  <c r="AX72" i="17" s="1"/>
  <c r="M72" i="17"/>
  <c r="AF72" i="17" s="1"/>
  <c r="AY72" i="17" s="1"/>
  <c r="D72" i="17"/>
  <c r="W72" i="17" s="1"/>
  <c r="AP72" i="17" s="1"/>
  <c r="AP112" i="17" s="1" a="1"/>
  <c r="AP112" i="17" s="1"/>
  <c r="N72" i="17"/>
  <c r="O72" i="17"/>
  <c r="AH72" i="17" s="1"/>
  <c r="BA72" i="17" s="1"/>
  <c r="BA112" i="17" s="1" a="1"/>
  <c r="BA112" i="17" s="1"/>
  <c r="P72" i="17"/>
  <c r="AI72" i="17" s="1"/>
  <c r="BB72" i="17" s="1"/>
  <c r="BB112" i="17" s="1" a="1"/>
  <c r="BB112" i="17" s="1"/>
  <c r="P53" i="17" s="1"/>
  <c r="Q72" i="17"/>
  <c r="AJ72" i="17" s="1"/>
  <c r="BC72" i="17" s="1"/>
  <c r="R72" i="17"/>
  <c r="AK72" i="17" s="1"/>
  <c r="BD72" i="17" s="1"/>
  <c r="BD112" i="17" s="1" a="1"/>
  <c r="BD112" i="17" s="1"/>
  <c r="R53" i="17" s="1"/>
  <c r="T72" i="17"/>
  <c r="AM72" i="17" s="1"/>
  <c r="BF72" i="17" s="1"/>
  <c r="S72" i="17"/>
  <c r="AL72" i="17" s="1"/>
  <c r="BE72" i="17" s="1"/>
  <c r="BE112" i="17" s="1" a="1"/>
  <c r="BE112" i="17" s="1"/>
  <c r="S53" i="17" s="1"/>
  <c r="E70" i="17"/>
  <c r="X70" i="17" s="1"/>
  <c r="AQ70" i="17" s="1"/>
  <c r="F70" i="17"/>
  <c r="Y70" i="17" s="1"/>
  <c r="AR70" i="17" s="1"/>
  <c r="G70" i="17"/>
  <c r="Z70" i="17" s="1"/>
  <c r="AS70" i="17" s="1"/>
  <c r="J70" i="17"/>
  <c r="AC70" i="17" s="1"/>
  <c r="AV70" i="17" s="1"/>
  <c r="I70" i="17"/>
  <c r="AB70" i="17" s="1"/>
  <c r="AU70" i="17" s="1"/>
  <c r="H70" i="17"/>
  <c r="AA70" i="17" s="1"/>
  <c r="AT70" i="17" s="1"/>
  <c r="AT110" i="17" s="1" a="1"/>
  <c r="AT110" i="17" s="1"/>
  <c r="K70" i="17"/>
  <c r="AD70" i="17" s="1"/>
  <c r="AW70" i="17" s="1"/>
  <c r="L70" i="17"/>
  <c r="AE70" i="17" s="1"/>
  <c r="AX70" i="17" s="1"/>
  <c r="M70" i="17"/>
  <c r="AF70" i="17" s="1"/>
  <c r="AY70" i="17" s="1"/>
  <c r="D70" i="17"/>
  <c r="W70" i="17" s="1"/>
  <c r="AP70" i="17" s="1"/>
  <c r="AP110" i="17" s="1" a="1"/>
  <c r="AP110" i="17" s="1"/>
  <c r="N70" i="17"/>
  <c r="AG70" i="17" s="1"/>
  <c r="AZ70" i="17" s="1"/>
  <c r="O70" i="17"/>
  <c r="P70" i="17"/>
  <c r="Q70" i="17"/>
  <c r="R70" i="17"/>
  <c r="AK70" i="17" s="1"/>
  <c r="BD70" i="17" s="1"/>
  <c r="S70" i="17"/>
  <c r="AL70" i="17" s="1"/>
  <c r="BE70" i="17" s="1"/>
  <c r="BE110" i="17" s="1" a="1"/>
  <c r="BE110" i="17" s="1"/>
  <c r="T70" i="17"/>
  <c r="AM70" i="17" s="1"/>
  <c r="BF70" i="17" s="1"/>
  <c r="BF90" i="17" s="1"/>
  <c r="AB68" i="17"/>
  <c r="AU68" i="17" s="1"/>
  <c r="AU108" i="17" s="1" a="1"/>
  <c r="AU108" i="17" s="1"/>
  <c r="I49" i="17" s="1"/>
  <c r="AC69" i="17"/>
  <c r="AV69" i="17" s="1"/>
  <c r="AV109" i="17" s="1" a="1"/>
  <c r="AV109" i="17" s="1"/>
  <c r="J50" i="17" s="1"/>
  <c r="AH68" i="17"/>
  <c r="BA68" i="17" s="1"/>
  <c r="BA108" i="17" s="1" a="1"/>
  <c r="BA108" i="17" s="1"/>
  <c r="O49" i="17" s="1"/>
  <c r="AD68" i="17"/>
  <c r="AW68" i="17" s="1"/>
  <c r="AR85" i="17"/>
  <c r="Y68" i="17"/>
  <c r="AR68" i="17" s="1"/>
  <c r="AR108" i="17" s="1" a="1"/>
  <c r="AR108" i="17" s="1"/>
  <c r="F49" i="17" s="1"/>
  <c r="Z68" i="17"/>
  <c r="AS68" i="17" s="1"/>
  <c r="AF68" i="17"/>
  <c r="AY68" i="17" s="1"/>
  <c r="AC68" i="17"/>
  <c r="AV68" i="17" s="1"/>
  <c r="AI68" i="17"/>
  <c r="BB68" i="17" s="1"/>
  <c r="AE68" i="17"/>
  <c r="AX68" i="17" s="1"/>
  <c r="AA68" i="17"/>
  <c r="AT68" i="17" s="1"/>
  <c r="AT108" i="17" s="1" a="1"/>
  <c r="AT108" i="17" s="1"/>
  <c r="H49" i="17" s="1"/>
  <c r="AG68" i="17"/>
  <c r="AZ68" i="17" s="1"/>
  <c r="AW85" i="17"/>
  <c r="AW85" i="10"/>
  <c r="AY85" i="17"/>
  <c r="AK71" i="17"/>
  <c r="BD71" i="17" s="1"/>
  <c r="BD111" i="17" s="1" a="1"/>
  <c r="BD111" i="17" s="1"/>
  <c r="X71" i="17"/>
  <c r="AQ71" i="17" s="1"/>
  <c r="BB85" i="17"/>
  <c r="AJ70" i="17"/>
  <c r="BC70" i="17" s="1"/>
  <c r="AA69" i="17"/>
  <c r="AT69" i="17" s="1"/>
  <c r="AI70" i="17"/>
  <c r="BB70" i="17" s="1"/>
  <c r="W69" i="17"/>
  <c r="AP69" i="17" s="1"/>
  <c r="AB69" i="17"/>
  <c r="AU69" i="17" s="1"/>
  <c r="Z69" i="17"/>
  <c r="AS69" i="17" s="1"/>
  <c r="Y69" i="17"/>
  <c r="AR69" i="17" s="1"/>
  <c r="AF69" i="17"/>
  <c r="AY69" i="17" s="1"/>
  <c r="AH70" i="17"/>
  <c r="BA70" i="17" s="1"/>
  <c r="X69" i="17"/>
  <c r="AQ69" i="17" s="1"/>
  <c r="AQ89" i="17" s="1"/>
  <c r="AH71" i="17"/>
  <c r="BA71" i="17" s="1"/>
  <c r="BA111" i="17" s="1" a="1"/>
  <c r="BA111" i="17" s="1"/>
  <c r="O52" i="17" s="1"/>
  <c r="AV85" i="10"/>
  <c r="BA85" i="17"/>
  <c r="AP92" i="17"/>
  <c r="AL71" i="17"/>
  <c r="BE71" i="17" s="1"/>
  <c r="BB85" i="10"/>
  <c r="AI71" i="17"/>
  <c r="BB71" i="17" s="1"/>
  <c r="AV85" i="17"/>
  <c r="BE85" i="17"/>
  <c r="BC85" i="17"/>
  <c r="AS85" i="17"/>
  <c r="AP85" i="17"/>
  <c r="AT85" i="17"/>
  <c r="AX85" i="17"/>
  <c r="AQ85" i="17"/>
  <c r="BK86" i="15"/>
  <c r="BC85" i="10"/>
  <c r="AX85" i="10"/>
  <c r="R47" i="10"/>
  <c r="AP85" i="10"/>
  <c r="BE85" i="10"/>
  <c r="BF85" i="10"/>
  <c r="AY85" i="10"/>
  <c r="BA85" i="10"/>
  <c r="AZ85" i="10"/>
  <c r="BD85" i="10"/>
  <c r="AQ85" i="10"/>
  <c r="AS85" i="10"/>
  <c r="AR85" i="10"/>
  <c r="R47" i="17"/>
  <c r="S47" i="17"/>
  <c r="E47" i="10"/>
  <c r="AV85" i="18"/>
  <c r="J47" i="18"/>
  <c r="N47" i="17"/>
  <c r="BD85" i="18"/>
  <c r="R47" i="18"/>
  <c r="D47" i="10"/>
  <c r="BF106" i="10" a="1"/>
  <c r="BF106" i="10" s="1"/>
  <c r="T47" i="10" s="1"/>
  <c r="AZ85" i="17"/>
  <c r="AX85" i="18"/>
  <c r="L47" i="18"/>
  <c r="AH67" i="18"/>
  <c r="BA67" i="18" s="1"/>
  <c r="BA107" i="18" s="1" a="1"/>
  <c r="BA107" i="18" s="1"/>
  <c r="AJ67" i="18"/>
  <c r="BC67" i="18" s="1"/>
  <c r="BC107" i="18" s="1" a="1"/>
  <c r="BC107" i="18" s="1"/>
  <c r="AF67" i="18"/>
  <c r="AY67" i="18" s="1"/>
  <c r="AY107" i="18" s="1" a="1"/>
  <c r="AY107" i="18" s="1"/>
  <c r="W67" i="18"/>
  <c r="AP67" i="18" s="1"/>
  <c r="AP107" i="18" s="1" a="1"/>
  <c r="AP107" i="18" s="1"/>
  <c r="AB67" i="18"/>
  <c r="AU67" i="18" s="1"/>
  <c r="AU107" i="18" s="1" a="1"/>
  <c r="AU107" i="18" s="1"/>
  <c r="Z67" i="18"/>
  <c r="AS67" i="18" s="1"/>
  <c r="AS107" i="18" s="1" a="1"/>
  <c r="AS107" i="18" s="1"/>
  <c r="AG67" i="18"/>
  <c r="AZ67" i="18" s="1"/>
  <c r="AZ107" i="18" s="1" a="1"/>
  <c r="AZ107" i="18" s="1"/>
  <c r="AA67" i="18"/>
  <c r="AT67" i="18" s="1"/>
  <c r="AT107" i="18" s="1" a="1"/>
  <c r="AT107" i="18" s="1"/>
  <c r="AE67" i="18"/>
  <c r="AX67" i="18" s="1"/>
  <c r="AX107" i="18" s="1" a="1"/>
  <c r="AX107" i="18" s="1"/>
  <c r="AI67" i="18"/>
  <c r="BB67" i="18" s="1"/>
  <c r="BB107" i="18" s="1" a="1"/>
  <c r="BB107" i="18" s="1"/>
  <c r="AK67" i="18"/>
  <c r="BD67" i="18" s="1"/>
  <c r="BD107" i="18" s="1" a="1"/>
  <c r="BD107" i="18" s="1"/>
  <c r="X68" i="18"/>
  <c r="AQ68" i="18" s="1"/>
  <c r="AQ108" i="18" s="1" a="1"/>
  <c r="AQ108" i="18" s="1"/>
  <c r="AB68" i="18"/>
  <c r="AU68" i="18" s="1"/>
  <c r="AU108" i="18" s="1" a="1"/>
  <c r="AU108" i="18" s="1"/>
  <c r="Z68" i="18"/>
  <c r="AS68" i="18" s="1"/>
  <c r="AS108" i="18" s="1" a="1"/>
  <c r="AS108" i="18" s="1"/>
  <c r="AD68" i="18"/>
  <c r="AW68" i="18" s="1"/>
  <c r="AW108" i="18" s="1" a="1"/>
  <c r="AW108" i="18" s="1"/>
  <c r="AA68" i="18"/>
  <c r="AT68" i="18" s="1"/>
  <c r="AT108" i="18" s="1" a="1"/>
  <c r="AT108" i="18" s="1"/>
  <c r="AE68" i="18"/>
  <c r="AX68" i="18" s="1"/>
  <c r="AX108" i="18" s="1" a="1"/>
  <c r="AX108" i="18" s="1"/>
  <c r="Y68" i="18"/>
  <c r="AR68" i="18" s="1"/>
  <c r="AR108" i="18" s="1" a="1"/>
  <c r="AR108" i="18" s="1"/>
  <c r="E47" i="17"/>
  <c r="AR85" i="18"/>
  <c r="F47" i="18"/>
  <c r="BE85" i="18"/>
  <c r="F47" i="10"/>
  <c r="G47" i="17"/>
  <c r="AT85" i="18"/>
  <c r="L47" i="17"/>
  <c r="Q47" i="17"/>
  <c r="AZ85" i="18"/>
  <c r="M47" i="10"/>
  <c r="P47" i="10"/>
  <c r="H47" i="17"/>
  <c r="BB85" i="18"/>
  <c r="P47" i="18"/>
  <c r="AJ71" i="18"/>
  <c r="BC71" i="18" s="1"/>
  <c r="BC111" i="18" s="1" a="1"/>
  <c r="BC111" i="18" s="1"/>
  <c r="AH71" i="18"/>
  <c r="BA71" i="18" s="1"/>
  <c r="BA111" i="18" s="1" a="1"/>
  <c r="BA111" i="18" s="1"/>
  <c r="AF71" i="18"/>
  <c r="AY71" i="18" s="1"/>
  <c r="AY111" i="18" s="1" a="1"/>
  <c r="AY111" i="18" s="1"/>
  <c r="W71" i="18"/>
  <c r="AP71" i="18" s="1"/>
  <c r="AP111" i="18" s="1" a="1"/>
  <c r="AP111" i="18" s="1"/>
  <c r="AK71" i="18"/>
  <c r="BD71" i="18" s="1"/>
  <c r="BD111" i="18" s="1" a="1"/>
  <c r="BD111" i="18" s="1"/>
  <c r="AL71" i="18"/>
  <c r="BE71" i="18" s="1"/>
  <c r="BE111" i="18" s="1" a="1"/>
  <c r="BE111" i="18" s="1"/>
  <c r="AI71" i="18"/>
  <c r="BB71" i="18" s="1"/>
  <c r="BB111" i="18" s="1" a="1"/>
  <c r="BB111" i="18" s="1"/>
  <c r="AG71" i="18"/>
  <c r="AZ71" i="18" s="1"/>
  <c r="AZ111" i="18" s="1" a="1"/>
  <c r="AZ111" i="18" s="1"/>
  <c r="AW85" i="18"/>
  <c r="Q47" i="10"/>
  <c r="AS85" i="18"/>
  <c r="AM69" i="18"/>
  <c r="BF69" i="18" s="1"/>
  <c r="AD69" i="18"/>
  <c r="AW69" i="18" s="1"/>
  <c r="AW109" i="18" s="1" a="1"/>
  <c r="AW109" i="18" s="1"/>
  <c r="AK69" i="18"/>
  <c r="BD69" i="18" s="1"/>
  <c r="BD109" i="18" s="1" a="1"/>
  <c r="BD109" i="18" s="1"/>
  <c r="AE69" i="18"/>
  <c r="AX69" i="18" s="1"/>
  <c r="AX109" i="18" s="1" a="1"/>
  <c r="AX109" i="18" s="1"/>
  <c r="Y69" i="18"/>
  <c r="AR69" i="18" s="1"/>
  <c r="AR109" i="18" s="1" a="1"/>
  <c r="AR109" i="18" s="1"/>
  <c r="AL69" i="18"/>
  <c r="BE69" i="18" s="1"/>
  <c r="BE109" i="18" s="1" a="1"/>
  <c r="BE109" i="18" s="1"/>
  <c r="AC69" i="18"/>
  <c r="AV69" i="18" s="1"/>
  <c r="AV109" i="18" s="1" a="1"/>
  <c r="AV109" i="18" s="1"/>
  <c r="K47" i="10"/>
  <c r="H47" i="10"/>
  <c r="AU85" i="18"/>
  <c r="F47" i="17"/>
  <c r="AY85" i="18"/>
  <c r="M47" i="18"/>
  <c r="D53" i="17"/>
  <c r="BD85" i="17"/>
  <c r="BF85" i="18"/>
  <c r="BF106" i="18" a="1"/>
  <c r="BF106" i="18" s="1"/>
  <c r="T47" i="18" s="1"/>
  <c r="S47" i="10"/>
  <c r="AP85" i="18"/>
  <c r="D47" i="18"/>
  <c r="X72" i="18"/>
  <c r="AQ72" i="18" s="1"/>
  <c r="AQ112" i="18" s="1" a="1"/>
  <c r="AQ112" i="18" s="1"/>
  <c r="AH72" i="18"/>
  <c r="BA72" i="18" s="1"/>
  <c r="BA112" i="18" s="1" a="1"/>
  <c r="BA112" i="18" s="1"/>
  <c r="AJ72" i="18"/>
  <c r="BC72" i="18" s="1"/>
  <c r="BC112" i="18" s="1" a="1"/>
  <c r="BC112" i="18" s="1"/>
  <c r="AF72" i="18"/>
  <c r="AY72" i="18" s="1"/>
  <c r="AY112" i="18" s="1" a="1"/>
  <c r="AY112" i="18" s="1"/>
  <c r="AB72" i="18"/>
  <c r="AU72" i="18" s="1"/>
  <c r="AU112" i="18" s="1" a="1"/>
  <c r="AU112" i="18" s="1"/>
  <c r="W72" i="18"/>
  <c r="AP72" i="18" s="1"/>
  <c r="AP112" i="18" s="1" a="1"/>
  <c r="AP112" i="18" s="1"/>
  <c r="Z72" i="18"/>
  <c r="AS72" i="18" s="1"/>
  <c r="AS112" i="18" s="1" a="1"/>
  <c r="AS112" i="18" s="1"/>
  <c r="AD72" i="18"/>
  <c r="AW72" i="18" s="1"/>
  <c r="AW112" i="18" s="1" a="1"/>
  <c r="AW112" i="18" s="1"/>
  <c r="AA72" i="18"/>
  <c r="AT72" i="18" s="1"/>
  <c r="AT112" i="18" s="1" a="1"/>
  <c r="AT112" i="18" s="1"/>
  <c r="AI72" i="18"/>
  <c r="BB72" i="18" s="1"/>
  <c r="BB112" i="18" s="1" a="1"/>
  <c r="BB112" i="18" s="1"/>
  <c r="AC72" i="18"/>
  <c r="AV72" i="18" s="1"/>
  <c r="AV112" i="18" s="1" a="1"/>
  <c r="AV112" i="18" s="1"/>
  <c r="G47" i="10"/>
  <c r="I47" i="10"/>
  <c r="AU85" i="10"/>
  <c r="BF106" i="17" a="1"/>
  <c r="BF106" i="17" s="1"/>
  <c r="T47" i="17" s="1"/>
  <c r="BC85" i="18"/>
  <c r="Q47" i="18"/>
  <c r="AJ70" i="18"/>
  <c r="BC70" i="18" s="1"/>
  <c r="BC110" i="18" s="1" a="1"/>
  <c r="BC110" i="18" s="1"/>
  <c r="AH70" i="18"/>
  <c r="BA70" i="18" s="1"/>
  <c r="BA110" i="18" s="1" a="1"/>
  <c r="BA110" i="18" s="1"/>
  <c r="AF70" i="18"/>
  <c r="AY70" i="18" s="1"/>
  <c r="AY110" i="18" s="1" a="1"/>
  <c r="AY110" i="18" s="1"/>
  <c r="W70" i="18"/>
  <c r="AP70" i="18" s="1"/>
  <c r="AP110" i="18" s="1" a="1"/>
  <c r="AP110" i="18" s="1"/>
  <c r="Z70" i="18"/>
  <c r="AS70" i="18" s="1"/>
  <c r="AS110" i="18" s="1" a="1"/>
  <c r="AS110" i="18" s="1"/>
  <c r="AK70" i="18"/>
  <c r="BD70" i="18" s="1"/>
  <c r="BD110" i="18" s="1" a="1"/>
  <c r="BD110" i="18" s="1"/>
  <c r="AE70" i="18"/>
  <c r="AX70" i="18" s="1"/>
  <c r="AX110" i="18" s="1" a="1"/>
  <c r="AX110" i="18" s="1"/>
  <c r="AG70" i="18"/>
  <c r="AZ70" i="18" s="1"/>
  <c r="AZ110" i="18" s="1" a="1"/>
  <c r="AZ110" i="18" s="1"/>
  <c r="AA70" i="18"/>
  <c r="AT70" i="18" s="1"/>
  <c r="AT110" i="18" s="1" a="1"/>
  <c r="AT110" i="18" s="1"/>
  <c r="AL70" i="18"/>
  <c r="BE70" i="18" s="1"/>
  <c r="BE110" i="18" s="1" a="1"/>
  <c r="BE110" i="18" s="1"/>
  <c r="O47" i="10"/>
  <c r="AQ85" i="18"/>
  <c r="E47" i="18"/>
  <c r="N47" i="10"/>
  <c r="BA85" i="18"/>
  <c r="O47" i="18"/>
  <c r="AU86" i="17"/>
  <c r="I48" i="17"/>
  <c r="G48" i="17"/>
  <c r="AS86" i="17"/>
  <c r="AY86" i="17"/>
  <c r="M48" i="17"/>
  <c r="AW86" i="17"/>
  <c r="K48" i="17"/>
  <c r="BC90" i="17"/>
  <c r="E48" i="17"/>
  <c r="AQ86" i="17"/>
  <c r="K53" i="17"/>
  <c r="AW92" i="17"/>
  <c r="BB90" i="17"/>
  <c r="F48" i="17"/>
  <c r="AR86" i="17"/>
  <c r="L48" i="17"/>
  <c r="AX86" i="17"/>
  <c r="BE92" i="17"/>
  <c r="BB92" i="17"/>
  <c r="H48" i="17"/>
  <c r="AT86" i="17"/>
  <c r="AP86" i="17"/>
  <c r="D48" i="17"/>
  <c r="AV86" i="17"/>
  <c r="J48" i="17"/>
  <c r="AV89" i="17"/>
  <c r="BD91" i="17"/>
  <c r="R52" i="17"/>
  <c r="BA92" i="17"/>
  <c r="O53" i="17"/>
  <c r="BF106" i="16" a="1"/>
  <c r="BF106" i="16" s="1"/>
  <c r="T47" i="16" s="1"/>
  <c r="BF85" i="16"/>
  <c r="P47" i="16"/>
  <c r="BB85" i="16"/>
  <c r="Q47" i="16"/>
  <c r="BC85" i="16"/>
  <c r="O47" i="16"/>
  <c r="BA85" i="16"/>
  <c r="M47" i="16"/>
  <c r="AY85" i="16"/>
  <c r="D47" i="16"/>
  <c r="AP85" i="16"/>
  <c r="AW85" i="16"/>
  <c r="K47" i="16"/>
  <c r="I47" i="16"/>
  <c r="AU85" i="16"/>
  <c r="E47" i="16"/>
  <c r="AQ85" i="16"/>
  <c r="AS85" i="16"/>
  <c r="G47" i="16"/>
  <c r="G68" i="16"/>
  <c r="Z68" i="16" s="1"/>
  <c r="AS68" i="16" s="1"/>
  <c r="E68" i="16"/>
  <c r="X68" i="16" s="1"/>
  <c r="AQ68" i="16" s="1"/>
  <c r="I68" i="16"/>
  <c r="AB68" i="16" s="1"/>
  <c r="AU68" i="16" s="1"/>
  <c r="K68" i="16"/>
  <c r="AD68" i="16" s="1"/>
  <c r="AW68" i="16" s="1"/>
  <c r="D68" i="16"/>
  <c r="W68" i="16" s="1"/>
  <c r="AP68" i="16" s="1"/>
  <c r="M68" i="16"/>
  <c r="AF68" i="16" s="1"/>
  <c r="AY68" i="16" s="1"/>
  <c r="O68" i="16"/>
  <c r="AH68" i="16" s="1"/>
  <c r="BA68" i="16" s="1"/>
  <c r="Q68" i="16"/>
  <c r="AJ68" i="16" s="1"/>
  <c r="BC68" i="16" s="1"/>
  <c r="T68" i="16"/>
  <c r="AM68" i="16" s="1"/>
  <c r="BF68" i="16" s="1"/>
  <c r="BF87" i="16" s="1"/>
  <c r="P68" i="16"/>
  <c r="AI68" i="16" s="1"/>
  <c r="BB68" i="16" s="1"/>
  <c r="J68" i="16"/>
  <c r="AC68" i="16" s="1"/>
  <c r="AV68" i="16" s="1"/>
  <c r="S68" i="16"/>
  <c r="AL68" i="16" s="1"/>
  <c r="BE68" i="16" s="1"/>
  <c r="N68" i="16"/>
  <c r="AG68" i="16" s="1"/>
  <c r="AZ68" i="16" s="1"/>
  <c r="H68" i="16"/>
  <c r="AA68" i="16" s="1"/>
  <c r="AT68" i="16" s="1"/>
  <c r="R68" i="16"/>
  <c r="AK68" i="16" s="1"/>
  <c r="BD68" i="16" s="1"/>
  <c r="L68" i="16"/>
  <c r="AE68" i="16" s="1"/>
  <c r="AX68" i="16" s="1"/>
  <c r="F68" i="16"/>
  <c r="Y68" i="16" s="1"/>
  <c r="AR68" i="16" s="1"/>
  <c r="E70" i="16"/>
  <c r="X70" i="16" s="1"/>
  <c r="AQ70" i="16" s="1"/>
  <c r="AQ110" i="16" s="1" a="1"/>
  <c r="AQ110" i="16" s="1"/>
  <c r="G70" i="16"/>
  <c r="Z70" i="16" s="1"/>
  <c r="AS70" i="16" s="1"/>
  <c r="AS110" i="16" s="1" a="1"/>
  <c r="AS110" i="16" s="1"/>
  <c r="I70" i="16"/>
  <c r="AB70" i="16" s="1"/>
  <c r="AU70" i="16" s="1"/>
  <c r="AU110" i="16" s="1" a="1"/>
  <c r="AU110" i="16" s="1"/>
  <c r="D70" i="16"/>
  <c r="W70" i="16" s="1"/>
  <c r="AP70" i="16" s="1"/>
  <c r="AP110" i="16" s="1" a="1"/>
  <c r="AP110" i="16" s="1"/>
  <c r="K70" i="16"/>
  <c r="AD70" i="16" s="1"/>
  <c r="AW70" i="16" s="1"/>
  <c r="AW110" i="16" s="1" a="1"/>
  <c r="AW110" i="16" s="1"/>
  <c r="M70" i="16"/>
  <c r="AF70" i="16" s="1"/>
  <c r="AY70" i="16" s="1"/>
  <c r="AY110" i="16" s="1" a="1"/>
  <c r="AY110" i="16" s="1"/>
  <c r="O70" i="16"/>
  <c r="AH70" i="16" s="1"/>
  <c r="BA70" i="16" s="1"/>
  <c r="BA110" i="16" s="1" a="1"/>
  <c r="BA110" i="16" s="1"/>
  <c r="Q70" i="16"/>
  <c r="AJ70" i="16" s="1"/>
  <c r="BC70" i="16" s="1"/>
  <c r="BC110" i="16" s="1" a="1"/>
  <c r="BC110" i="16" s="1"/>
  <c r="T70" i="16"/>
  <c r="AM70" i="16" s="1"/>
  <c r="BF70" i="16" s="1"/>
  <c r="F70" i="16"/>
  <c r="Y70" i="16" s="1"/>
  <c r="AR70" i="16" s="1"/>
  <c r="AR110" i="16" s="1" a="1"/>
  <c r="AR110" i="16" s="1"/>
  <c r="H70" i="16"/>
  <c r="AA70" i="16" s="1"/>
  <c r="AT70" i="16" s="1"/>
  <c r="AT110" i="16" s="1" a="1"/>
  <c r="AT110" i="16" s="1"/>
  <c r="L70" i="16"/>
  <c r="AE70" i="16" s="1"/>
  <c r="AX70" i="16" s="1"/>
  <c r="AX110" i="16" s="1" a="1"/>
  <c r="AX110" i="16" s="1"/>
  <c r="P70" i="16"/>
  <c r="AI70" i="16" s="1"/>
  <c r="BB70" i="16" s="1"/>
  <c r="BB110" i="16" s="1" a="1"/>
  <c r="BB110" i="16" s="1"/>
  <c r="R70" i="16"/>
  <c r="AK70" i="16" s="1"/>
  <c r="BD70" i="16" s="1"/>
  <c r="BD110" i="16" s="1" a="1"/>
  <c r="BD110" i="16" s="1"/>
  <c r="N70" i="16"/>
  <c r="AG70" i="16" s="1"/>
  <c r="AZ70" i="16" s="1"/>
  <c r="AZ110" i="16" s="1" a="1"/>
  <c r="AZ110" i="16" s="1"/>
  <c r="S70" i="16"/>
  <c r="AL70" i="16" s="1"/>
  <c r="BE70" i="16" s="1"/>
  <c r="BE110" i="16" s="1" a="1"/>
  <c r="BE110" i="16" s="1"/>
  <c r="J70" i="16"/>
  <c r="AC70" i="16" s="1"/>
  <c r="AV70" i="16" s="1"/>
  <c r="AV110" i="16" s="1" a="1"/>
  <c r="AV110" i="16" s="1"/>
  <c r="T68" i="10"/>
  <c r="AM68" i="10" s="1"/>
  <c r="BF68" i="10" s="1"/>
  <c r="BF87" i="10" s="1"/>
  <c r="N68" i="10"/>
  <c r="AG68" i="10" s="1"/>
  <c r="AZ68" i="10" s="1"/>
  <c r="S68" i="10"/>
  <c r="AL68" i="10" s="1"/>
  <c r="BE68" i="10" s="1"/>
  <c r="O68" i="10"/>
  <c r="AH68" i="10" s="1"/>
  <c r="BA68" i="10" s="1"/>
  <c r="P68" i="10"/>
  <c r="AI68" i="10" s="1"/>
  <c r="BB68" i="10" s="1"/>
  <c r="Q68" i="10"/>
  <c r="AJ68" i="10" s="1"/>
  <c r="BC68" i="10" s="1"/>
  <c r="L68" i="10"/>
  <c r="AE68" i="10" s="1"/>
  <c r="AX68" i="10" s="1"/>
  <c r="R68" i="10"/>
  <c r="AK68" i="10" s="1"/>
  <c r="BD68" i="10" s="1"/>
  <c r="J68" i="10"/>
  <c r="AC68" i="10" s="1"/>
  <c r="AV68" i="10" s="1"/>
  <c r="F68" i="10"/>
  <c r="Y68" i="10" s="1"/>
  <c r="AR68" i="10" s="1"/>
  <c r="E68" i="10"/>
  <c r="X68" i="10" s="1"/>
  <c r="AQ68" i="10" s="1"/>
  <c r="G68" i="10"/>
  <c r="Z68" i="10" s="1"/>
  <c r="AS68" i="10" s="1"/>
  <c r="H68" i="10"/>
  <c r="AA68" i="10" s="1"/>
  <c r="AT68" i="10" s="1"/>
  <c r="M68" i="10"/>
  <c r="AF68" i="10" s="1"/>
  <c r="AY68" i="10" s="1"/>
  <c r="I68" i="10"/>
  <c r="AB68" i="10" s="1"/>
  <c r="AU68" i="10" s="1"/>
  <c r="D68" i="10"/>
  <c r="W68" i="10" s="1"/>
  <c r="AP68" i="10" s="1"/>
  <c r="K68" i="10"/>
  <c r="AD68" i="10" s="1"/>
  <c r="AW68" i="10" s="1"/>
  <c r="T70" i="10"/>
  <c r="AM70" i="10" s="1"/>
  <c r="BF70" i="10" s="1"/>
  <c r="S70" i="10"/>
  <c r="AL70" i="10" s="1"/>
  <c r="BE70" i="10" s="1"/>
  <c r="BE110" i="10" s="1" a="1"/>
  <c r="BE110" i="10" s="1"/>
  <c r="G70" i="10"/>
  <c r="Z70" i="10" s="1"/>
  <c r="AS70" i="10" s="1"/>
  <c r="AS110" i="10" s="1" a="1"/>
  <c r="AS110" i="10" s="1"/>
  <c r="H70" i="10"/>
  <c r="AA70" i="10" s="1"/>
  <c r="AT70" i="10" s="1"/>
  <c r="AT110" i="10" s="1" a="1"/>
  <c r="AT110" i="10" s="1"/>
  <c r="R70" i="10"/>
  <c r="AK70" i="10" s="1"/>
  <c r="BD70" i="10" s="1"/>
  <c r="BD110" i="10" s="1" a="1"/>
  <c r="BD110" i="10" s="1"/>
  <c r="J70" i="10"/>
  <c r="AC70" i="10" s="1"/>
  <c r="AV70" i="10" s="1"/>
  <c r="AV110" i="10" s="1" a="1"/>
  <c r="AV110" i="10" s="1"/>
  <c r="K70" i="10"/>
  <c r="AD70" i="10" s="1"/>
  <c r="AW70" i="10" s="1"/>
  <c r="AW110" i="10" s="1" a="1"/>
  <c r="AW110" i="10" s="1"/>
  <c r="O70" i="10"/>
  <c r="AH70" i="10" s="1"/>
  <c r="BA70" i="10" s="1"/>
  <c r="BA110" i="10" s="1" a="1"/>
  <c r="BA110" i="10" s="1"/>
  <c r="P70" i="10"/>
  <c r="AI70" i="10" s="1"/>
  <c r="BB70" i="10" s="1"/>
  <c r="BB110" i="10" s="1" a="1"/>
  <c r="BB110" i="10" s="1"/>
  <c r="E70" i="10"/>
  <c r="X70" i="10" s="1"/>
  <c r="AQ70" i="10" s="1"/>
  <c r="AQ110" i="10" s="1" a="1"/>
  <c r="AQ110" i="10" s="1"/>
  <c r="D70" i="10"/>
  <c r="W70" i="10" s="1"/>
  <c r="AP70" i="10" s="1"/>
  <c r="AP110" i="10" s="1" a="1"/>
  <c r="AP110" i="10" s="1"/>
  <c r="I70" i="10"/>
  <c r="AB70" i="10" s="1"/>
  <c r="AU70" i="10" s="1"/>
  <c r="AU110" i="10" s="1" a="1"/>
  <c r="AU110" i="10" s="1"/>
  <c r="M70" i="10"/>
  <c r="AF70" i="10" s="1"/>
  <c r="AY70" i="10" s="1"/>
  <c r="AY110" i="10" s="1" a="1"/>
  <c r="AY110" i="10" s="1"/>
  <c r="F70" i="10"/>
  <c r="Y70" i="10" s="1"/>
  <c r="AR70" i="10" s="1"/>
  <c r="AR110" i="10" s="1" a="1"/>
  <c r="AR110" i="10" s="1"/>
  <c r="L70" i="10"/>
  <c r="AE70" i="10" s="1"/>
  <c r="AX70" i="10" s="1"/>
  <c r="AX110" i="10" s="1" a="1"/>
  <c r="AX110" i="10" s="1"/>
  <c r="Q70" i="10"/>
  <c r="AJ70" i="10" s="1"/>
  <c r="BC70" i="10" s="1"/>
  <c r="BC110" i="10" s="1" a="1"/>
  <c r="BC110" i="10" s="1"/>
  <c r="N70" i="10"/>
  <c r="AG70" i="10" s="1"/>
  <c r="AZ70" i="10" s="1"/>
  <c r="AZ110" i="10" s="1" a="1"/>
  <c r="AZ110" i="10" s="1"/>
  <c r="G67" i="16"/>
  <c r="Z67" i="16" s="1"/>
  <c r="AS67" i="16" s="1"/>
  <c r="AS107" i="16" s="1" a="1"/>
  <c r="AS107" i="16" s="1"/>
  <c r="E67" i="16"/>
  <c r="X67" i="16" s="1"/>
  <c r="AQ67" i="16" s="1"/>
  <c r="AQ107" i="16" s="1" a="1"/>
  <c r="AQ107" i="16" s="1"/>
  <c r="I67" i="16"/>
  <c r="AB67" i="16" s="1"/>
  <c r="AU67" i="16" s="1"/>
  <c r="AU107" i="16" s="1" a="1"/>
  <c r="AU107" i="16" s="1"/>
  <c r="K67" i="16"/>
  <c r="AD67" i="16" s="1"/>
  <c r="AW67" i="16" s="1"/>
  <c r="AW107" i="16" s="1" a="1"/>
  <c r="AW107" i="16" s="1"/>
  <c r="D67" i="16"/>
  <c r="W67" i="16" s="1"/>
  <c r="AP67" i="16" s="1"/>
  <c r="AP107" i="16" s="1" a="1"/>
  <c r="AP107" i="16" s="1"/>
  <c r="M67" i="16"/>
  <c r="AF67" i="16" s="1"/>
  <c r="AY67" i="16" s="1"/>
  <c r="AY107" i="16" s="1" a="1"/>
  <c r="AY107" i="16" s="1"/>
  <c r="O67" i="16"/>
  <c r="AH67" i="16" s="1"/>
  <c r="BA67" i="16" s="1"/>
  <c r="BA107" i="16" s="1" a="1"/>
  <c r="BA107" i="16" s="1"/>
  <c r="Q67" i="16"/>
  <c r="AJ67" i="16" s="1"/>
  <c r="BC67" i="16" s="1"/>
  <c r="BC107" i="16" s="1" a="1"/>
  <c r="BC107" i="16" s="1"/>
  <c r="T67" i="16"/>
  <c r="AM67" i="16" s="1"/>
  <c r="BF67" i="16" s="1"/>
  <c r="J67" i="16"/>
  <c r="AC67" i="16" s="1"/>
  <c r="AV67" i="16" s="1"/>
  <c r="AV107" i="16" s="1" a="1"/>
  <c r="AV107" i="16" s="1"/>
  <c r="P67" i="16"/>
  <c r="AI67" i="16" s="1"/>
  <c r="BB67" i="16" s="1"/>
  <c r="BB107" i="16" s="1" a="1"/>
  <c r="BB107" i="16" s="1"/>
  <c r="N67" i="16"/>
  <c r="AG67" i="16" s="1"/>
  <c r="AZ67" i="16" s="1"/>
  <c r="AZ107" i="16" s="1" a="1"/>
  <c r="AZ107" i="16" s="1"/>
  <c r="S67" i="16"/>
  <c r="AL67" i="16" s="1"/>
  <c r="BE67" i="16" s="1"/>
  <c r="BE107" i="16" s="1" a="1"/>
  <c r="BE107" i="16" s="1"/>
  <c r="F67" i="16"/>
  <c r="Y67" i="16" s="1"/>
  <c r="AR67" i="16" s="1"/>
  <c r="AR107" i="16" s="1" a="1"/>
  <c r="AR107" i="16" s="1"/>
  <c r="H67" i="16"/>
  <c r="AA67" i="16" s="1"/>
  <c r="AT67" i="16" s="1"/>
  <c r="AT107" i="16" s="1" a="1"/>
  <c r="AT107" i="16" s="1"/>
  <c r="R67" i="16"/>
  <c r="AK67" i="16" s="1"/>
  <c r="BD67" i="16" s="1"/>
  <c r="BD107" i="16" s="1" a="1"/>
  <c r="BD107" i="16" s="1"/>
  <c r="L67" i="16"/>
  <c r="AE67" i="16" s="1"/>
  <c r="AX67" i="16" s="1"/>
  <c r="AX107" i="16" s="1" a="1"/>
  <c r="AX107" i="16" s="1"/>
  <c r="J47" i="16"/>
  <c r="AV85" i="16"/>
  <c r="T67" i="10"/>
  <c r="AM67" i="10" s="1"/>
  <c r="BF67" i="10" s="1"/>
  <c r="J67" i="10"/>
  <c r="AC67" i="10" s="1"/>
  <c r="AV67" i="10" s="1"/>
  <c r="AV107" i="10" s="1" a="1"/>
  <c r="AV107" i="10" s="1"/>
  <c r="I67" i="10"/>
  <c r="AB67" i="10" s="1"/>
  <c r="AU67" i="10" s="1"/>
  <c r="AU107" i="10" s="1" a="1"/>
  <c r="AU107" i="10" s="1"/>
  <c r="K67" i="10"/>
  <c r="AD67" i="10" s="1"/>
  <c r="AW67" i="10" s="1"/>
  <c r="AW107" i="10" s="1" a="1"/>
  <c r="AW107" i="10" s="1"/>
  <c r="L67" i="10"/>
  <c r="AE67" i="10" s="1"/>
  <c r="AX67" i="10" s="1"/>
  <c r="AX107" i="10" s="1" a="1"/>
  <c r="AX107" i="10" s="1"/>
  <c r="F67" i="10"/>
  <c r="Y67" i="10" s="1"/>
  <c r="AR67" i="10" s="1"/>
  <c r="AR107" i="10" s="1" a="1"/>
  <c r="AR107" i="10" s="1"/>
  <c r="H67" i="10"/>
  <c r="AA67" i="10" s="1"/>
  <c r="AT67" i="10" s="1"/>
  <c r="AT107" i="10" s="1" a="1"/>
  <c r="AT107" i="10" s="1"/>
  <c r="D67" i="10"/>
  <c r="W67" i="10" s="1"/>
  <c r="AP67" i="10" s="1"/>
  <c r="AP107" i="10" s="1" a="1"/>
  <c r="AP107" i="10" s="1"/>
  <c r="M67" i="10"/>
  <c r="AF67" i="10" s="1"/>
  <c r="AY67" i="10" s="1"/>
  <c r="AY107" i="10" s="1" a="1"/>
  <c r="AY107" i="10" s="1"/>
  <c r="N67" i="10"/>
  <c r="AG67" i="10" s="1"/>
  <c r="AZ67" i="10" s="1"/>
  <c r="AZ107" i="10" s="1" a="1"/>
  <c r="AZ107" i="10" s="1"/>
  <c r="P67" i="10"/>
  <c r="AI67" i="10" s="1"/>
  <c r="BB67" i="10" s="1"/>
  <c r="BB107" i="10" s="1" a="1"/>
  <c r="BB107" i="10" s="1"/>
  <c r="Q67" i="10"/>
  <c r="AJ67" i="10" s="1"/>
  <c r="BC67" i="10" s="1"/>
  <c r="BC107" i="10" s="1" a="1"/>
  <c r="BC107" i="10" s="1"/>
  <c r="S67" i="10"/>
  <c r="AL67" i="10" s="1"/>
  <c r="BE67" i="10" s="1"/>
  <c r="BE107" i="10" s="1" a="1"/>
  <c r="BE107" i="10" s="1"/>
  <c r="O67" i="10"/>
  <c r="AH67" i="10" s="1"/>
  <c r="BA67" i="10" s="1"/>
  <c r="BA107" i="10" s="1" a="1"/>
  <c r="BA107" i="10" s="1"/>
  <c r="R67" i="10"/>
  <c r="AK67" i="10" s="1"/>
  <c r="BD67" i="10" s="1"/>
  <c r="BD107" i="10" s="1" a="1"/>
  <c r="BD107" i="10" s="1"/>
  <c r="G67" i="10"/>
  <c r="Z67" i="10" s="1"/>
  <c r="AS67" i="10" s="1"/>
  <c r="AS107" i="10" s="1" a="1"/>
  <c r="AS107" i="10" s="1"/>
  <c r="E67" i="10"/>
  <c r="X67" i="10" s="1"/>
  <c r="AQ67" i="10" s="1"/>
  <c r="AQ107" i="10" s="1" a="1"/>
  <c r="AQ107" i="10" s="1"/>
  <c r="AZ85" i="16"/>
  <c r="N47" i="16"/>
  <c r="E71" i="16"/>
  <c r="X71" i="16" s="1"/>
  <c r="AQ71" i="16" s="1"/>
  <c r="AQ111" i="16" s="1" a="1"/>
  <c r="AQ111" i="16" s="1"/>
  <c r="G71" i="16"/>
  <c r="Z71" i="16" s="1"/>
  <c r="AS71" i="16" s="1"/>
  <c r="AS111" i="16" s="1" a="1"/>
  <c r="AS111" i="16" s="1"/>
  <c r="I71" i="16"/>
  <c r="AB71" i="16" s="1"/>
  <c r="AU71" i="16" s="1"/>
  <c r="AU111" i="16" s="1" a="1"/>
  <c r="AU111" i="16" s="1"/>
  <c r="K71" i="16"/>
  <c r="AD71" i="16" s="1"/>
  <c r="AW71" i="16" s="1"/>
  <c r="AW111" i="16" s="1" a="1"/>
  <c r="AW111" i="16" s="1"/>
  <c r="D71" i="16"/>
  <c r="W71" i="16" s="1"/>
  <c r="AP71" i="16" s="1"/>
  <c r="AP111" i="16" s="1" a="1"/>
  <c r="AP111" i="16" s="1"/>
  <c r="M71" i="16"/>
  <c r="AF71" i="16" s="1"/>
  <c r="AY71" i="16" s="1"/>
  <c r="AY111" i="16" s="1" a="1"/>
  <c r="AY111" i="16" s="1"/>
  <c r="O71" i="16"/>
  <c r="AH71" i="16" s="1"/>
  <c r="BA71" i="16" s="1"/>
  <c r="BA111" i="16" s="1" a="1"/>
  <c r="BA111" i="16" s="1"/>
  <c r="Q71" i="16"/>
  <c r="AJ71" i="16" s="1"/>
  <c r="BC71" i="16" s="1"/>
  <c r="BC111" i="16" s="1" a="1"/>
  <c r="BC111" i="16" s="1"/>
  <c r="T71" i="16"/>
  <c r="AM71" i="16" s="1"/>
  <c r="BF71" i="16" s="1"/>
  <c r="R71" i="16"/>
  <c r="AK71" i="16" s="1"/>
  <c r="BD71" i="16" s="1"/>
  <c r="BD111" i="16" s="1" a="1"/>
  <c r="BD111" i="16" s="1"/>
  <c r="F71" i="16"/>
  <c r="Y71" i="16" s="1"/>
  <c r="AR71" i="16" s="1"/>
  <c r="AR111" i="16" s="1" a="1"/>
  <c r="AR111" i="16" s="1"/>
  <c r="H71" i="16"/>
  <c r="AA71" i="16" s="1"/>
  <c r="AT71" i="16" s="1"/>
  <c r="AT111" i="16" s="1" a="1"/>
  <c r="AT111" i="16" s="1"/>
  <c r="L71" i="16"/>
  <c r="AE71" i="16" s="1"/>
  <c r="AX71" i="16" s="1"/>
  <c r="AX111" i="16" s="1" a="1"/>
  <c r="AX111" i="16" s="1"/>
  <c r="N71" i="16"/>
  <c r="AG71" i="16" s="1"/>
  <c r="AZ71" i="16" s="1"/>
  <c r="AZ111" i="16" s="1" a="1"/>
  <c r="AZ111" i="16" s="1"/>
  <c r="P71" i="16"/>
  <c r="AI71" i="16" s="1"/>
  <c r="BB71" i="16" s="1"/>
  <c r="BB111" i="16" s="1" a="1"/>
  <c r="BB111" i="16" s="1"/>
  <c r="S71" i="16"/>
  <c r="AL71" i="16" s="1"/>
  <c r="BE71" i="16" s="1"/>
  <c r="BE111" i="16" s="1" a="1"/>
  <c r="BE111" i="16" s="1"/>
  <c r="J71" i="16"/>
  <c r="AC71" i="16" s="1"/>
  <c r="AV71" i="16" s="1"/>
  <c r="AV111" i="16" s="1" a="1"/>
  <c r="AV111" i="16" s="1"/>
  <c r="BD85" i="16"/>
  <c r="R47" i="16"/>
  <c r="T71" i="10"/>
  <c r="AM71" i="10" s="1"/>
  <c r="BF71" i="10" s="1"/>
  <c r="R71" i="10"/>
  <c r="AK71" i="10" s="1"/>
  <c r="BD71" i="10" s="1"/>
  <c r="BD111" i="10" s="1" a="1"/>
  <c r="BD111" i="10" s="1"/>
  <c r="S71" i="10"/>
  <c r="AL71" i="10" s="1"/>
  <c r="BE71" i="10" s="1"/>
  <c r="BE111" i="10" s="1" a="1"/>
  <c r="BE111" i="10" s="1"/>
  <c r="D71" i="10"/>
  <c r="W71" i="10" s="1"/>
  <c r="AP71" i="10" s="1"/>
  <c r="AP111" i="10" s="1" a="1"/>
  <c r="AP111" i="10" s="1"/>
  <c r="N71" i="10"/>
  <c r="AG71" i="10" s="1"/>
  <c r="AZ71" i="10" s="1"/>
  <c r="AZ111" i="10" s="1" a="1"/>
  <c r="AZ111" i="10" s="1"/>
  <c r="Q71" i="10"/>
  <c r="AJ71" i="10" s="1"/>
  <c r="BC71" i="10" s="1"/>
  <c r="BC111" i="10" s="1" a="1"/>
  <c r="BC111" i="10" s="1"/>
  <c r="F71" i="10"/>
  <c r="Y71" i="10" s="1"/>
  <c r="AR71" i="10" s="1"/>
  <c r="AR111" i="10" s="1" a="1"/>
  <c r="AR111" i="10" s="1"/>
  <c r="I71" i="10"/>
  <c r="AB71" i="10" s="1"/>
  <c r="AU71" i="10" s="1"/>
  <c r="AU111" i="10" s="1" a="1"/>
  <c r="AU111" i="10" s="1"/>
  <c r="E71" i="10"/>
  <c r="X71" i="10" s="1"/>
  <c r="AQ71" i="10" s="1"/>
  <c r="AQ111" i="10" s="1" a="1"/>
  <c r="AQ111" i="10" s="1"/>
  <c r="G71" i="10"/>
  <c r="Z71" i="10" s="1"/>
  <c r="AS71" i="10" s="1"/>
  <c r="AS111" i="10" s="1" a="1"/>
  <c r="AS111" i="10" s="1"/>
  <c r="H71" i="10"/>
  <c r="AA71" i="10" s="1"/>
  <c r="AT71" i="10" s="1"/>
  <c r="AT111" i="10" s="1" a="1"/>
  <c r="AT111" i="10" s="1"/>
  <c r="P71" i="10"/>
  <c r="AI71" i="10" s="1"/>
  <c r="BB71" i="10" s="1"/>
  <c r="BB111" i="10" s="1" a="1"/>
  <c r="BB111" i="10" s="1"/>
  <c r="L71" i="10"/>
  <c r="AE71" i="10" s="1"/>
  <c r="AX71" i="10" s="1"/>
  <c r="AX111" i="10" s="1" a="1"/>
  <c r="AX111" i="10" s="1"/>
  <c r="J71" i="10"/>
  <c r="AC71" i="10" s="1"/>
  <c r="AV71" i="10" s="1"/>
  <c r="AV111" i="10" s="1" a="1"/>
  <c r="AV111" i="10" s="1"/>
  <c r="K71" i="10"/>
  <c r="AD71" i="10" s="1"/>
  <c r="AW71" i="10" s="1"/>
  <c r="AW111" i="10" s="1" a="1"/>
  <c r="AW111" i="10" s="1"/>
  <c r="M71" i="10"/>
  <c r="AF71" i="10" s="1"/>
  <c r="AY71" i="10" s="1"/>
  <c r="AY111" i="10" s="1" a="1"/>
  <c r="AY111" i="10" s="1"/>
  <c r="O71" i="10"/>
  <c r="AH71" i="10" s="1"/>
  <c r="BA71" i="10" s="1"/>
  <c r="BA111" i="10" s="1" a="1"/>
  <c r="BA111" i="10" s="1"/>
  <c r="AX85" i="16"/>
  <c r="L47" i="16"/>
  <c r="E69" i="16"/>
  <c r="X69" i="16" s="1"/>
  <c r="AQ69" i="16" s="1"/>
  <c r="AQ109" i="16" s="1" a="1"/>
  <c r="AQ109" i="16" s="1"/>
  <c r="G69" i="16"/>
  <c r="Z69" i="16" s="1"/>
  <c r="AS69" i="16" s="1"/>
  <c r="AS109" i="16" s="1" a="1"/>
  <c r="AS109" i="16" s="1"/>
  <c r="I69" i="16"/>
  <c r="AB69" i="16" s="1"/>
  <c r="AU69" i="16" s="1"/>
  <c r="AU109" i="16" s="1" a="1"/>
  <c r="AU109" i="16" s="1"/>
  <c r="D69" i="16"/>
  <c r="W69" i="16" s="1"/>
  <c r="AP69" i="16" s="1"/>
  <c r="AP109" i="16" s="1" a="1"/>
  <c r="AP109" i="16" s="1"/>
  <c r="K69" i="16"/>
  <c r="AD69" i="16" s="1"/>
  <c r="AW69" i="16" s="1"/>
  <c r="AW109" i="16" s="1" a="1"/>
  <c r="AW109" i="16" s="1"/>
  <c r="M69" i="16"/>
  <c r="AF69" i="16" s="1"/>
  <c r="AY69" i="16" s="1"/>
  <c r="AY109" i="16" s="1" a="1"/>
  <c r="AY109" i="16" s="1"/>
  <c r="O69" i="16"/>
  <c r="AH69" i="16" s="1"/>
  <c r="BA69" i="16" s="1"/>
  <c r="BA109" i="16" s="1" a="1"/>
  <c r="BA109" i="16" s="1"/>
  <c r="Q69" i="16"/>
  <c r="AJ69" i="16" s="1"/>
  <c r="BC69" i="16" s="1"/>
  <c r="BC109" i="16" s="1" a="1"/>
  <c r="BC109" i="16" s="1"/>
  <c r="T69" i="16"/>
  <c r="AM69" i="16" s="1"/>
  <c r="BF69" i="16" s="1"/>
  <c r="H69" i="16"/>
  <c r="AA69" i="16" s="1"/>
  <c r="AT69" i="16" s="1"/>
  <c r="AT109" i="16" s="1" a="1"/>
  <c r="AT109" i="16" s="1"/>
  <c r="P69" i="16"/>
  <c r="AI69" i="16" s="1"/>
  <c r="BB69" i="16" s="1"/>
  <c r="BB109" i="16" s="1" a="1"/>
  <c r="BB109" i="16" s="1"/>
  <c r="N69" i="16"/>
  <c r="AG69" i="16" s="1"/>
  <c r="AZ69" i="16" s="1"/>
  <c r="AZ109" i="16" s="1" a="1"/>
  <c r="AZ109" i="16" s="1"/>
  <c r="J69" i="16"/>
  <c r="AC69" i="16" s="1"/>
  <c r="AV69" i="16" s="1"/>
  <c r="AV109" i="16" s="1" a="1"/>
  <c r="AV109" i="16" s="1"/>
  <c r="S69" i="16"/>
  <c r="AL69" i="16" s="1"/>
  <c r="BE69" i="16" s="1"/>
  <c r="BE109" i="16" s="1" a="1"/>
  <c r="BE109" i="16" s="1"/>
  <c r="L69" i="16"/>
  <c r="AE69" i="16" s="1"/>
  <c r="AX69" i="16" s="1"/>
  <c r="AX109" i="16" s="1" a="1"/>
  <c r="AX109" i="16" s="1"/>
  <c r="R69" i="16"/>
  <c r="AK69" i="16" s="1"/>
  <c r="BD69" i="16" s="1"/>
  <c r="BD109" i="16" s="1" a="1"/>
  <c r="BD109" i="16" s="1"/>
  <c r="F69" i="16"/>
  <c r="Y69" i="16" s="1"/>
  <c r="AR69" i="16" s="1"/>
  <c r="AR109" i="16" s="1" a="1"/>
  <c r="AR109" i="16" s="1"/>
  <c r="AT85" i="16"/>
  <c r="T69" i="10"/>
  <c r="AM69" i="10" s="1"/>
  <c r="BF69" i="10" s="1"/>
  <c r="N69" i="10"/>
  <c r="AG69" i="10" s="1"/>
  <c r="AZ69" i="10" s="1"/>
  <c r="AZ109" i="10" s="1" a="1"/>
  <c r="AZ109" i="10" s="1"/>
  <c r="O69" i="10"/>
  <c r="AH69" i="10" s="1"/>
  <c r="BA69" i="10" s="1"/>
  <c r="BA109" i="10" s="1" a="1"/>
  <c r="BA109" i="10" s="1"/>
  <c r="P69" i="10"/>
  <c r="AI69" i="10" s="1"/>
  <c r="BB69" i="10" s="1"/>
  <c r="BB109" i="10" s="1" a="1"/>
  <c r="BB109" i="10" s="1"/>
  <c r="H69" i="10"/>
  <c r="AA69" i="10" s="1"/>
  <c r="AT69" i="10" s="1"/>
  <c r="AT109" i="10" s="1" a="1"/>
  <c r="AT109" i="10" s="1"/>
  <c r="Q69" i="10"/>
  <c r="AJ69" i="10" s="1"/>
  <c r="BC69" i="10" s="1"/>
  <c r="BC109" i="10" s="1" a="1"/>
  <c r="BC109" i="10" s="1"/>
  <c r="F69" i="10"/>
  <c r="Y69" i="10" s="1"/>
  <c r="AR69" i="10" s="1"/>
  <c r="AR109" i="10" s="1" a="1"/>
  <c r="AR109" i="10" s="1"/>
  <c r="E69" i="10"/>
  <c r="X69" i="10" s="1"/>
  <c r="AQ69" i="10" s="1"/>
  <c r="AQ109" i="10" s="1" a="1"/>
  <c r="AQ109" i="10" s="1"/>
  <c r="J69" i="10"/>
  <c r="AC69" i="10" s="1"/>
  <c r="AV69" i="10" s="1"/>
  <c r="AV109" i="10" s="1" a="1"/>
  <c r="AV109" i="10" s="1"/>
  <c r="D69" i="10"/>
  <c r="W69" i="10" s="1"/>
  <c r="AP69" i="10" s="1"/>
  <c r="AP109" i="10" s="1" a="1"/>
  <c r="AP109" i="10" s="1"/>
  <c r="S69" i="10"/>
  <c r="AL69" i="10" s="1"/>
  <c r="BE69" i="10" s="1"/>
  <c r="BE109" i="10" s="1" a="1"/>
  <c r="BE109" i="10" s="1"/>
  <c r="M69" i="10"/>
  <c r="AF69" i="10" s="1"/>
  <c r="AY69" i="10" s="1"/>
  <c r="AY109" i="10" s="1" a="1"/>
  <c r="AY109" i="10" s="1"/>
  <c r="R69" i="10"/>
  <c r="AK69" i="10" s="1"/>
  <c r="BD69" i="10" s="1"/>
  <c r="BD109" i="10" s="1" a="1"/>
  <c r="BD109" i="10" s="1"/>
  <c r="G69" i="10"/>
  <c r="Z69" i="10" s="1"/>
  <c r="AS69" i="10" s="1"/>
  <c r="AS109" i="10" s="1" a="1"/>
  <c r="AS109" i="10" s="1"/>
  <c r="K69" i="10"/>
  <c r="AD69" i="10" s="1"/>
  <c r="AW69" i="10" s="1"/>
  <c r="AW109" i="10" s="1" a="1"/>
  <c r="AW109" i="10" s="1"/>
  <c r="L69" i="10"/>
  <c r="AE69" i="10" s="1"/>
  <c r="AX69" i="10" s="1"/>
  <c r="AX109" i="10" s="1" a="1"/>
  <c r="AX109" i="10" s="1"/>
  <c r="I69" i="10"/>
  <c r="AB69" i="10" s="1"/>
  <c r="AU69" i="10" s="1"/>
  <c r="AU109" i="10" s="1" a="1"/>
  <c r="AU109" i="10" s="1"/>
  <c r="AR85" i="16"/>
  <c r="G72" i="16"/>
  <c r="Z72" i="16" s="1"/>
  <c r="AS72" i="16" s="1"/>
  <c r="AS112" i="16" s="1" a="1"/>
  <c r="AS112" i="16" s="1"/>
  <c r="E72" i="16"/>
  <c r="X72" i="16" s="1"/>
  <c r="AQ72" i="16" s="1"/>
  <c r="AQ112" i="16" s="1" a="1"/>
  <c r="AQ112" i="16" s="1"/>
  <c r="I72" i="16"/>
  <c r="AB72" i="16" s="1"/>
  <c r="AU72" i="16" s="1"/>
  <c r="AU112" i="16" s="1" a="1"/>
  <c r="AU112" i="16" s="1"/>
  <c r="K72" i="16"/>
  <c r="AD72" i="16" s="1"/>
  <c r="AW72" i="16" s="1"/>
  <c r="AW112" i="16" s="1" a="1"/>
  <c r="AW112" i="16" s="1"/>
  <c r="D72" i="16"/>
  <c r="W72" i="16" s="1"/>
  <c r="AP72" i="16" s="1"/>
  <c r="AP112" i="16" s="1" a="1"/>
  <c r="AP112" i="16" s="1"/>
  <c r="M72" i="16"/>
  <c r="AF72" i="16" s="1"/>
  <c r="AY72" i="16" s="1"/>
  <c r="AY112" i="16" s="1" a="1"/>
  <c r="AY112" i="16" s="1"/>
  <c r="O72" i="16"/>
  <c r="AH72" i="16" s="1"/>
  <c r="BA72" i="16" s="1"/>
  <c r="BA112" i="16" s="1" a="1"/>
  <c r="BA112" i="16" s="1"/>
  <c r="Q72" i="16"/>
  <c r="AJ72" i="16" s="1"/>
  <c r="BC72" i="16" s="1"/>
  <c r="BC112" i="16" s="1" a="1"/>
  <c r="BC112" i="16" s="1"/>
  <c r="T72" i="16"/>
  <c r="AM72" i="16" s="1"/>
  <c r="BF72" i="16" s="1"/>
  <c r="S72" i="16"/>
  <c r="AL72" i="16" s="1"/>
  <c r="BE72" i="16" s="1"/>
  <c r="BE112" i="16" s="1" a="1"/>
  <c r="BE112" i="16" s="1"/>
  <c r="N72" i="16"/>
  <c r="AG72" i="16" s="1"/>
  <c r="AZ72" i="16" s="1"/>
  <c r="AZ112" i="16" s="1" a="1"/>
  <c r="AZ112" i="16" s="1"/>
  <c r="F72" i="16"/>
  <c r="Y72" i="16" s="1"/>
  <c r="AR72" i="16" s="1"/>
  <c r="AR112" i="16" s="1" a="1"/>
  <c r="AR112" i="16" s="1"/>
  <c r="H72" i="16"/>
  <c r="AA72" i="16" s="1"/>
  <c r="AT72" i="16" s="1"/>
  <c r="AT112" i="16" s="1" a="1"/>
  <c r="AT112" i="16" s="1"/>
  <c r="L72" i="16"/>
  <c r="AE72" i="16" s="1"/>
  <c r="AX72" i="16" s="1"/>
  <c r="AX112" i="16" s="1" a="1"/>
  <c r="AX112" i="16" s="1"/>
  <c r="R72" i="16"/>
  <c r="AK72" i="16" s="1"/>
  <c r="BD72" i="16" s="1"/>
  <c r="BD112" i="16" s="1" a="1"/>
  <c r="BD112" i="16" s="1"/>
  <c r="P72" i="16"/>
  <c r="AI72" i="16" s="1"/>
  <c r="BB72" i="16" s="1"/>
  <c r="BB112" i="16" s="1" a="1"/>
  <c r="BB112" i="16" s="1"/>
  <c r="J72" i="16"/>
  <c r="AC72" i="16" s="1"/>
  <c r="AV72" i="16" s="1"/>
  <c r="AV112" i="16" s="1" a="1"/>
  <c r="AV112" i="16" s="1"/>
  <c r="BE85" i="16"/>
  <c r="S47" i="16"/>
  <c r="T72" i="10"/>
  <c r="AM72" i="10" s="1"/>
  <c r="BF72" i="10" s="1"/>
  <c r="G72" i="10"/>
  <c r="Z72" i="10" s="1"/>
  <c r="AS72" i="10" s="1"/>
  <c r="AS112" i="10" s="1" a="1"/>
  <c r="AS112" i="10" s="1"/>
  <c r="D72" i="10"/>
  <c r="W72" i="10" s="1"/>
  <c r="AP72" i="10" s="1"/>
  <c r="AP112" i="10" s="1" a="1"/>
  <c r="AP112" i="10" s="1"/>
  <c r="I72" i="10"/>
  <c r="AB72" i="10" s="1"/>
  <c r="AU72" i="10" s="1"/>
  <c r="AU112" i="10" s="1" a="1"/>
  <c r="AU112" i="10" s="1"/>
  <c r="J72" i="10"/>
  <c r="AC72" i="10" s="1"/>
  <c r="AV72" i="10" s="1"/>
  <c r="AV112" i="10" s="1" a="1"/>
  <c r="AV112" i="10" s="1"/>
  <c r="L72" i="10"/>
  <c r="AE72" i="10" s="1"/>
  <c r="AX72" i="10" s="1"/>
  <c r="AX112" i="10" s="1" a="1"/>
  <c r="AX112" i="10" s="1"/>
  <c r="M72" i="10"/>
  <c r="AF72" i="10" s="1"/>
  <c r="AY72" i="10" s="1"/>
  <c r="AY112" i="10" s="1" a="1"/>
  <c r="AY112" i="10" s="1"/>
  <c r="H72" i="10"/>
  <c r="AA72" i="10" s="1"/>
  <c r="AT72" i="10" s="1"/>
  <c r="AT112" i="10" s="1" a="1"/>
  <c r="AT112" i="10" s="1"/>
  <c r="K72" i="10"/>
  <c r="AD72" i="10" s="1"/>
  <c r="AW72" i="10" s="1"/>
  <c r="AW112" i="10" s="1" a="1"/>
  <c r="AW112" i="10" s="1"/>
  <c r="N72" i="10"/>
  <c r="AG72" i="10" s="1"/>
  <c r="AZ72" i="10" s="1"/>
  <c r="AZ112" i="10" s="1" a="1"/>
  <c r="AZ112" i="10" s="1"/>
  <c r="S72" i="10"/>
  <c r="AL72" i="10" s="1"/>
  <c r="BE72" i="10" s="1"/>
  <c r="BE112" i="10" s="1" a="1"/>
  <c r="BE112" i="10" s="1"/>
  <c r="O72" i="10"/>
  <c r="AH72" i="10" s="1"/>
  <c r="BA72" i="10" s="1"/>
  <c r="BA112" i="10" s="1" a="1"/>
  <c r="BA112" i="10" s="1"/>
  <c r="P72" i="10"/>
  <c r="AI72" i="10" s="1"/>
  <c r="BB72" i="10" s="1"/>
  <c r="BB112" i="10" s="1" a="1"/>
  <c r="BB112" i="10" s="1"/>
  <c r="Q72" i="10"/>
  <c r="AJ72" i="10" s="1"/>
  <c r="BC72" i="10" s="1"/>
  <c r="BC112" i="10" s="1" a="1"/>
  <c r="BC112" i="10" s="1"/>
  <c r="R72" i="10"/>
  <c r="AK72" i="10" s="1"/>
  <c r="BD72" i="10" s="1"/>
  <c r="BD112" i="10" s="1" a="1"/>
  <c r="BD112" i="10" s="1"/>
  <c r="E72" i="10"/>
  <c r="X72" i="10" s="1"/>
  <c r="AQ72" i="10" s="1"/>
  <c r="AQ112" i="10" s="1" a="1"/>
  <c r="AQ112" i="10" s="1"/>
  <c r="F72" i="10"/>
  <c r="Y72" i="10" s="1"/>
  <c r="AR72" i="10" s="1"/>
  <c r="AR112" i="10" s="1" a="1"/>
  <c r="AR112" i="10" s="1"/>
  <c r="BJ19" i="15"/>
  <c r="BI20" i="15"/>
  <c r="AT87" i="17" l="1"/>
  <c r="BC111" i="17" a="1"/>
  <c r="BC111" i="17" s="1"/>
  <c r="Q52" i="17" s="1"/>
  <c r="BC91" i="17"/>
  <c r="BA87" i="17"/>
  <c r="AZ92" i="17"/>
  <c r="BC108" i="17" a="1"/>
  <c r="BC108" i="17" s="1"/>
  <c r="Q49" i="17" s="1"/>
  <c r="BC87" i="17"/>
  <c r="AZ86" i="17"/>
  <c r="BA86" i="17"/>
  <c r="AS111" i="17" a="1"/>
  <c r="AS111" i="17" s="1"/>
  <c r="G52" i="17" s="1"/>
  <c r="AS91" i="17"/>
  <c r="AR87" i="17"/>
  <c r="AR92" i="17"/>
  <c r="BB86" i="17"/>
  <c r="AQ92" i="17"/>
  <c r="O120" i="17"/>
  <c r="O121" i="17" s="1"/>
  <c r="AT92" i="17"/>
  <c r="BD109" i="17" a="1"/>
  <c r="BD109" i="17" s="1"/>
  <c r="R50" i="17" s="1"/>
  <c r="BD89" i="17"/>
  <c r="AV92" i="17"/>
  <c r="BC86" i="17"/>
  <c r="AU87" i="17"/>
  <c r="BA91" i="17"/>
  <c r="BD92" i="17"/>
  <c r="BD86" i="17"/>
  <c r="AV110" i="17" a="1"/>
  <c r="AV110" i="17" s="1"/>
  <c r="J51" i="17" s="1"/>
  <c r="AY112" i="17" a="1"/>
  <c r="AY112" i="17" s="1"/>
  <c r="M53" i="17" s="1"/>
  <c r="AY92" i="17"/>
  <c r="AZ87" i="16"/>
  <c r="AZ108" i="16" a="1"/>
  <c r="AZ108" i="16" s="1"/>
  <c r="AZ108" i="17" a="1"/>
  <c r="AZ108" i="17" s="1"/>
  <c r="N49" i="17" s="1"/>
  <c r="BE87" i="16"/>
  <c r="BE108" i="16" a="1"/>
  <c r="BE108" i="16" s="1"/>
  <c r="AQ109" i="17" a="1"/>
  <c r="AQ109" i="17" s="1"/>
  <c r="E50" i="17" s="1"/>
  <c r="AW87" i="10"/>
  <c r="AW108" i="10" a="1"/>
  <c r="AW108" i="10" s="1"/>
  <c r="K49" i="10" s="1"/>
  <c r="AV87" i="16"/>
  <c r="AV108" i="16" a="1"/>
  <c r="AV108" i="16" s="1"/>
  <c r="J49" i="16" s="1"/>
  <c r="BA90" i="17"/>
  <c r="BA110" i="17" a="1"/>
  <c r="BA110" i="17" s="1"/>
  <c r="BE108" i="17" a="1"/>
  <c r="BE108" i="17" s="1"/>
  <c r="S49" i="17" s="1"/>
  <c r="AZ110" i="17" a="1"/>
  <c r="AZ110" i="17" s="1"/>
  <c r="N51" i="17" s="1"/>
  <c r="AX112" i="17" a="1"/>
  <c r="AX112" i="17" s="1"/>
  <c r="L53" i="17" s="1"/>
  <c r="AP87" i="10"/>
  <c r="AP108" i="10" a="1"/>
  <c r="AP108" i="10" s="1"/>
  <c r="D49" i="10" s="1"/>
  <c r="BB87" i="16"/>
  <c r="BB108" i="16" a="1"/>
  <c r="BB108" i="16" s="1"/>
  <c r="P49" i="16" s="1"/>
  <c r="AY89" i="17"/>
  <c r="AY109" i="17" a="1"/>
  <c r="AY109" i="17" s="1"/>
  <c r="AX108" i="17" a="1"/>
  <c r="AX108" i="17" s="1"/>
  <c r="L49" i="17" s="1"/>
  <c r="AZ91" i="17"/>
  <c r="AZ111" i="17" a="1"/>
  <c r="AZ111" i="17" s="1"/>
  <c r="AU87" i="10"/>
  <c r="AU108" i="10" a="1"/>
  <c r="AU108" i="10" s="1"/>
  <c r="I49" i="10" s="1"/>
  <c r="BC89" i="17"/>
  <c r="BC109" i="17" a="1"/>
  <c r="BC109" i="17" s="1"/>
  <c r="Q50" i="17" s="1"/>
  <c r="AR89" i="17"/>
  <c r="AR109" i="17" a="1"/>
  <c r="AR109" i="17" s="1"/>
  <c r="F50" i="17" s="1"/>
  <c r="BB108" i="17" a="1"/>
  <c r="BB108" i="17" s="1"/>
  <c r="P49" i="17" s="1"/>
  <c r="AY110" i="17" a="1"/>
  <c r="AY110" i="17" s="1"/>
  <c r="M51" i="17" s="1"/>
  <c r="AU92" i="17"/>
  <c r="AU112" i="17" a="1"/>
  <c r="AU112" i="17" s="1"/>
  <c r="I53" i="17" s="1"/>
  <c r="AP108" i="17" a="1"/>
  <c r="AP108" i="17" s="1"/>
  <c r="D49" i="17" s="1"/>
  <c r="AY87" i="10"/>
  <c r="AY108" i="10" a="1"/>
  <c r="AY108" i="10" s="1"/>
  <c r="M49" i="10" s="1"/>
  <c r="BC87" i="16"/>
  <c r="BC108" i="16" a="1"/>
  <c r="BC108" i="16" s="1"/>
  <c r="Q49" i="16" s="1"/>
  <c r="BB111" i="17" a="1"/>
  <c r="BB111" i="17" s="1"/>
  <c r="P52" i="17" s="1"/>
  <c r="AS89" i="17"/>
  <c r="AS109" i="17" a="1"/>
  <c r="AS109" i="17" s="1"/>
  <c r="G50" i="17" s="1"/>
  <c r="AV87" i="17"/>
  <c r="AV108" i="17" a="1"/>
  <c r="AV108" i="17" s="1"/>
  <c r="J49" i="17" s="1"/>
  <c r="AX90" i="17"/>
  <c r="AX110" i="17" a="1"/>
  <c r="AX110" i="17" s="1"/>
  <c r="L51" i="17" s="1"/>
  <c r="AS92" i="17"/>
  <c r="AS112" i="17" a="1"/>
  <c r="AS112" i="17" s="1"/>
  <c r="G53" i="17" s="1"/>
  <c r="G120" i="17" s="1"/>
  <c r="G121" i="17" s="1"/>
  <c r="AX91" i="17"/>
  <c r="AX111" i="17" a="1"/>
  <c r="AX111" i="17" s="1"/>
  <c r="L52" i="17" s="1"/>
  <c r="BE86" i="17"/>
  <c r="BE107" i="17" a="1"/>
  <c r="BE107" i="17" s="1"/>
  <c r="S48" i="17" s="1"/>
  <c r="AT87" i="10"/>
  <c r="AT108" i="10" a="1"/>
  <c r="AT108" i="10" s="1"/>
  <c r="H49" i="10" s="1"/>
  <c r="BA87" i="16"/>
  <c r="BA108" i="16" a="1"/>
  <c r="BA108" i="16" s="1"/>
  <c r="O49" i="16" s="1"/>
  <c r="AU89" i="17"/>
  <c r="AU109" i="17" a="1"/>
  <c r="AU109" i="17" s="1"/>
  <c r="I50" i="17" s="1"/>
  <c r="AY108" i="17" a="1"/>
  <c r="AY108" i="17" s="1"/>
  <c r="M49" i="17" s="1"/>
  <c r="AW90" i="17"/>
  <c r="AW110" i="17" a="1"/>
  <c r="AW110" i="17" s="1"/>
  <c r="AS87" i="10"/>
  <c r="AS108" i="10" a="1"/>
  <c r="AS108" i="10" s="1"/>
  <c r="AY87" i="16"/>
  <c r="AY108" i="16" a="1"/>
  <c r="AY108" i="16" s="1"/>
  <c r="AP109" i="17" a="1"/>
  <c r="AP109" i="17" s="1"/>
  <c r="D50" i="17" s="1"/>
  <c r="AS87" i="17"/>
  <c r="AS108" i="17" a="1"/>
  <c r="AS108" i="17" s="1"/>
  <c r="G49" i="17" s="1"/>
  <c r="AQ87" i="10"/>
  <c r="AQ108" i="10" a="1"/>
  <c r="AQ108" i="10" s="1"/>
  <c r="E49" i="10" s="1"/>
  <c r="AP87" i="16"/>
  <c r="AP108" i="16" a="1"/>
  <c r="AP108" i="16" s="1"/>
  <c r="BB110" i="17" a="1"/>
  <c r="BB110" i="17" s="1"/>
  <c r="P51" i="17" s="1"/>
  <c r="AU110" i="17" a="1"/>
  <c r="AU110" i="17" s="1"/>
  <c r="I51" i="17" s="1"/>
  <c r="AU91" i="17"/>
  <c r="AU111" i="17" a="1"/>
  <c r="AU111" i="17" s="1"/>
  <c r="I52" i="17" s="1"/>
  <c r="AR87" i="10"/>
  <c r="AR108" i="10" a="1"/>
  <c r="AR108" i="10" s="1"/>
  <c r="F49" i="10" s="1"/>
  <c r="AW87" i="16"/>
  <c r="AW108" i="16" a="1"/>
  <c r="AW108" i="16" s="1"/>
  <c r="K49" i="16" s="1"/>
  <c r="BE111" i="17" a="1"/>
  <c r="BE111" i="17" s="1"/>
  <c r="S52" i="17" s="1"/>
  <c r="S120" i="17" s="1"/>
  <c r="S121" i="17" s="1"/>
  <c r="AT89" i="17"/>
  <c r="AT109" i="17" a="1"/>
  <c r="AT109" i="17" s="1"/>
  <c r="H50" i="17" s="1"/>
  <c r="BD108" i="17" a="1"/>
  <c r="BD108" i="17" s="1"/>
  <c r="R49" i="17" s="1"/>
  <c r="AV87" i="10"/>
  <c r="AV108" i="10" a="1"/>
  <c r="AV108" i="10" s="1"/>
  <c r="J49" i="10" s="1"/>
  <c r="AU87" i="16"/>
  <c r="AU108" i="16" a="1"/>
  <c r="AU108" i="16" s="1"/>
  <c r="I49" i="16" s="1"/>
  <c r="AR110" i="17" a="1"/>
  <c r="AR110" i="17" s="1"/>
  <c r="F51" i="17" s="1"/>
  <c r="AW89" i="17"/>
  <c r="AW109" i="17" a="1"/>
  <c r="AW109" i="17" s="1"/>
  <c r="K50" i="17" s="1"/>
  <c r="AS90" i="17"/>
  <c r="AS110" i="17" a="1"/>
  <c r="AS110" i="17" s="1"/>
  <c r="G51" i="17" s="1"/>
  <c r="BA89" i="17"/>
  <c r="BA109" i="17" a="1"/>
  <c r="BA109" i="17" s="1"/>
  <c r="O50" i="17" s="1"/>
  <c r="BD87" i="10"/>
  <c r="BD108" i="10" a="1"/>
  <c r="BD108" i="10" s="1"/>
  <c r="R49" i="10" s="1"/>
  <c r="AQ87" i="16"/>
  <c r="AQ108" i="16" a="1"/>
  <c r="AQ108" i="16" s="1"/>
  <c r="E49" i="16" s="1"/>
  <c r="BE89" i="17"/>
  <c r="BE109" i="17" a="1"/>
  <c r="BE109" i="17" s="1"/>
  <c r="AW108" i="17" a="1"/>
  <c r="AW108" i="17" s="1"/>
  <c r="K49" i="17" s="1"/>
  <c r="AX87" i="10"/>
  <c r="AX108" i="10" a="1"/>
  <c r="AX108" i="10" s="1"/>
  <c r="AS87" i="16"/>
  <c r="AS108" i="16" a="1"/>
  <c r="AS108" i="16" s="1"/>
  <c r="G49" i="16" s="1"/>
  <c r="BC110" i="17" a="1"/>
  <c r="BC110" i="17" s="1"/>
  <c r="Q51" i="17" s="1"/>
  <c r="AQ110" i="17" a="1"/>
  <c r="AQ110" i="17" s="1"/>
  <c r="E51" i="17" s="1"/>
  <c r="AZ89" i="17"/>
  <c r="AZ109" i="17" a="1"/>
  <c r="AZ109" i="17" s="1"/>
  <c r="N50" i="17" s="1"/>
  <c r="BC87" i="10"/>
  <c r="BC108" i="10" a="1"/>
  <c r="BC108" i="10" s="1"/>
  <c r="Q49" i="10" s="1"/>
  <c r="BD110" i="17" a="1"/>
  <c r="BD110" i="17" s="1"/>
  <c r="R51" i="17" s="1"/>
  <c r="BB87" i="10"/>
  <c r="BB108" i="10" a="1"/>
  <c r="BB108" i="10" s="1"/>
  <c r="P49" i="10" s="1"/>
  <c r="AQ111" i="17" a="1"/>
  <c r="AQ111" i="17" s="1"/>
  <c r="E52" i="17" s="1"/>
  <c r="E120" i="17" s="1"/>
  <c r="E121" i="17" s="1"/>
  <c r="BA87" i="10"/>
  <c r="BA108" i="10" a="1"/>
  <c r="BA108" i="10" s="1"/>
  <c r="O49" i="10" s="1"/>
  <c r="P48" i="18"/>
  <c r="BC92" i="17"/>
  <c r="BC112" i="17" a="1"/>
  <c r="BC112" i="17" s="1"/>
  <c r="Q53" i="17" s="1"/>
  <c r="Q120" i="17" s="1"/>
  <c r="Q121" i="17" s="1"/>
  <c r="BE87" i="10"/>
  <c r="BE108" i="10" a="1"/>
  <c r="BE108" i="10" s="1"/>
  <c r="AR87" i="16"/>
  <c r="AR108" i="16" a="1"/>
  <c r="AR108" i="16" s="1"/>
  <c r="AW91" i="17"/>
  <c r="AW111" i="17" a="1"/>
  <c r="AW111" i="17" s="1"/>
  <c r="K52" i="17" s="1"/>
  <c r="AZ87" i="10"/>
  <c r="AZ108" i="10" a="1"/>
  <c r="AZ108" i="10" s="1"/>
  <c r="N49" i="10" s="1"/>
  <c r="AX87" i="16"/>
  <c r="AX108" i="16" a="1"/>
  <c r="AX108" i="16" s="1"/>
  <c r="L49" i="16" s="1"/>
  <c r="AV111" i="17" a="1"/>
  <c r="AV111" i="17" s="1"/>
  <c r="J52" i="17" s="1"/>
  <c r="J120" i="17" s="1"/>
  <c r="J121" i="17" s="1"/>
  <c r="BD87" i="16"/>
  <c r="BD108" i="16" a="1"/>
  <c r="BD108" i="16" s="1"/>
  <c r="R49" i="16" s="1"/>
  <c r="AT87" i="16"/>
  <c r="AT108" i="16" a="1"/>
  <c r="AT108" i="16" s="1"/>
  <c r="H49" i="16" s="1"/>
  <c r="BF86" i="17"/>
  <c r="BB91" i="17"/>
  <c r="H52" i="17"/>
  <c r="H120" i="17" s="1"/>
  <c r="H121" i="17" s="1"/>
  <c r="AT91" i="17"/>
  <c r="M52" i="17"/>
  <c r="M120" i="17" s="1"/>
  <c r="M121" i="17" s="1"/>
  <c r="AY91" i="17"/>
  <c r="AV90" i="17"/>
  <c r="AP87" i="17"/>
  <c r="BF89" i="17"/>
  <c r="BF109" i="17" a="1"/>
  <c r="BF109" i="17" s="1"/>
  <c r="T50" i="17" s="1"/>
  <c r="BF112" i="17" a="1"/>
  <c r="BF112" i="17" s="1"/>
  <c r="T53" i="17" s="1"/>
  <c r="BF92" i="17"/>
  <c r="P50" i="17"/>
  <c r="BB89" i="17"/>
  <c r="D51" i="17"/>
  <c r="AP90" i="17"/>
  <c r="AT90" i="17"/>
  <c r="H51" i="17"/>
  <c r="D52" i="17"/>
  <c r="AP91" i="17"/>
  <c r="BE90" i="17"/>
  <c r="S51" i="17"/>
  <c r="E49" i="17"/>
  <c r="AQ87" i="17"/>
  <c r="AR91" i="17"/>
  <c r="F52" i="17"/>
  <c r="L50" i="17"/>
  <c r="AX89" i="17"/>
  <c r="F120" i="17"/>
  <c r="F121" i="17" s="1"/>
  <c r="R120" i="17"/>
  <c r="R121" i="17" s="1"/>
  <c r="P120" i="17"/>
  <c r="P121" i="17" s="1"/>
  <c r="N52" i="17"/>
  <c r="N120" i="17" s="1"/>
  <c r="N121" i="17" s="1"/>
  <c r="BB87" i="17"/>
  <c r="AV91" i="17"/>
  <c r="S50" i="17"/>
  <c r="AW87" i="17"/>
  <c r="AX92" i="17"/>
  <c r="BF110" i="17" a="1"/>
  <c r="BF110" i="17" s="1"/>
  <c r="T51" i="17" s="1"/>
  <c r="BD87" i="17"/>
  <c r="BE87" i="17"/>
  <c r="D120" i="17"/>
  <c r="D121" i="17" s="1"/>
  <c r="AX87" i="17"/>
  <c r="BF111" i="17" a="1"/>
  <c r="BF111" i="17" s="1"/>
  <c r="T52" i="17" s="1"/>
  <c r="AU90" i="17"/>
  <c r="AP89" i="17"/>
  <c r="AZ87" i="17"/>
  <c r="K51" i="17"/>
  <c r="BF87" i="17"/>
  <c r="BE91" i="17"/>
  <c r="AY87" i="17"/>
  <c r="AQ91" i="17"/>
  <c r="O51" i="17"/>
  <c r="AQ90" i="17"/>
  <c r="BD90" i="17"/>
  <c r="M50" i="17"/>
  <c r="K120" i="17"/>
  <c r="K121" i="17" s="1"/>
  <c r="AR90" i="17"/>
  <c r="AZ90" i="17"/>
  <c r="AY90" i="17"/>
  <c r="AX87" i="18"/>
  <c r="L49" i="18"/>
  <c r="AT90" i="18"/>
  <c r="H51" i="18"/>
  <c r="AR92" i="18"/>
  <c r="F53" i="18"/>
  <c r="AP89" i="18"/>
  <c r="D50" i="18"/>
  <c r="AX91" i="18"/>
  <c r="L52" i="18"/>
  <c r="AT87" i="18"/>
  <c r="H49" i="18"/>
  <c r="AU86" i="18"/>
  <c r="I48" i="18"/>
  <c r="AS86" i="18"/>
  <c r="G48" i="18"/>
  <c r="AZ90" i="18"/>
  <c r="N51" i="18"/>
  <c r="BB92" i="18"/>
  <c r="P53" i="18"/>
  <c r="AU89" i="18"/>
  <c r="I50" i="18"/>
  <c r="BD91" i="18"/>
  <c r="R52" i="18"/>
  <c r="AW87" i="18"/>
  <c r="K49" i="18"/>
  <c r="AP86" i="18"/>
  <c r="D48" i="18"/>
  <c r="L51" i="18"/>
  <c r="AX90" i="18"/>
  <c r="L53" i="18"/>
  <c r="L120" i="18" s="1"/>
  <c r="L121" i="18" s="1"/>
  <c r="AX92" i="18"/>
  <c r="BF89" i="18"/>
  <c r="BF109" i="18" a="1"/>
  <c r="BF109" i="18" s="1"/>
  <c r="T50" i="18" s="1"/>
  <c r="AT91" i="18"/>
  <c r="H52" i="18"/>
  <c r="AS87" i="18"/>
  <c r="G49" i="18"/>
  <c r="AY86" i="18"/>
  <c r="M48" i="18"/>
  <c r="BD90" i="18"/>
  <c r="R51" i="18"/>
  <c r="AT92" i="18"/>
  <c r="H53" i="18"/>
  <c r="H120" i="18" s="1"/>
  <c r="H121" i="18" s="1"/>
  <c r="AY89" i="18"/>
  <c r="M50" i="18"/>
  <c r="AW91" i="18"/>
  <c r="K52" i="18"/>
  <c r="BF87" i="18"/>
  <c r="BF108" i="18" a="1"/>
  <c r="BF108" i="18" s="1"/>
  <c r="T49" i="18" s="1"/>
  <c r="BF86" i="18"/>
  <c r="BF107" i="18" a="1"/>
  <c r="BF107" i="18" s="1"/>
  <c r="T48" i="18" s="1"/>
  <c r="AS89" i="18"/>
  <c r="G50" i="18"/>
  <c r="K51" i="18"/>
  <c r="AW90" i="18"/>
  <c r="AZ92" i="18"/>
  <c r="N53" i="18"/>
  <c r="AQ89" i="18"/>
  <c r="E50" i="18"/>
  <c r="AS91" i="18"/>
  <c r="G52" i="18"/>
  <c r="AP87" i="18"/>
  <c r="D49" i="18"/>
  <c r="BC86" i="18"/>
  <c r="Q48" i="18"/>
  <c r="AS90" i="18"/>
  <c r="G51" i="18"/>
  <c r="BE92" i="18"/>
  <c r="S53" i="18"/>
  <c r="BC89" i="18"/>
  <c r="Q50" i="18"/>
  <c r="AP91" i="18"/>
  <c r="D52" i="18"/>
  <c r="AU87" i="18"/>
  <c r="I49" i="18"/>
  <c r="BA86" i="18"/>
  <c r="O48" i="18"/>
  <c r="AU90" i="18"/>
  <c r="I51" i="18"/>
  <c r="BD92" i="18"/>
  <c r="R53" i="18"/>
  <c r="BA89" i="18"/>
  <c r="O50" i="18"/>
  <c r="AU91" i="18"/>
  <c r="I52" i="18"/>
  <c r="AY87" i="18"/>
  <c r="M49" i="18"/>
  <c r="AQ86" i="18"/>
  <c r="E48" i="18"/>
  <c r="AP90" i="18"/>
  <c r="D51" i="18"/>
  <c r="K53" i="18"/>
  <c r="AW92" i="18"/>
  <c r="AY91" i="18"/>
  <c r="M52" i="18"/>
  <c r="BC87" i="18"/>
  <c r="Q49" i="18"/>
  <c r="BE91" i="18"/>
  <c r="S52" i="18"/>
  <c r="AY90" i="18"/>
  <c r="M51" i="18"/>
  <c r="AS92" i="18"/>
  <c r="G53" i="18"/>
  <c r="BF91" i="18"/>
  <c r="BF111" i="18" a="1"/>
  <c r="BF111" i="18" s="1"/>
  <c r="T52" i="18" s="1"/>
  <c r="BB86" i="18"/>
  <c r="AQ87" i="18"/>
  <c r="E49" i="18"/>
  <c r="BF90" i="18"/>
  <c r="BF110" i="18" a="1"/>
  <c r="BF110" i="18" s="1"/>
  <c r="T51" i="18" s="1"/>
  <c r="AP92" i="18"/>
  <c r="D53" i="18"/>
  <c r="BA91" i="18"/>
  <c r="O52" i="18"/>
  <c r="BA87" i="18"/>
  <c r="O49" i="18"/>
  <c r="BE90" i="18"/>
  <c r="S51" i="18"/>
  <c r="AQ90" i="18"/>
  <c r="E51" i="18"/>
  <c r="AU92" i="18"/>
  <c r="I53" i="18"/>
  <c r="BB89" i="18"/>
  <c r="P50" i="18"/>
  <c r="BC91" i="18"/>
  <c r="Q52" i="18"/>
  <c r="AV86" i="18"/>
  <c r="J48" i="18"/>
  <c r="BA90" i="18"/>
  <c r="O51" i="18"/>
  <c r="AY92" i="18"/>
  <c r="M53" i="18"/>
  <c r="AV89" i="18"/>
  <c r="J50" i="18"/>
  <c r="AQ91" i="18"/>
  <c r="E52" i="18"/>
  <c r="BD86" i="18"/>
  <c r="R48" i="18"/>
  <c r="BC90" i="18"/>
  <c r="Q51" i="18"/>
  <c r="BF92" i="18"/>
  <c r="BF112" i="18" a="1"/>
  <c r="BF112" i="18" s="1"/>
  <c r="T53" i="18" s="1"/>
  <c r="AZ89" i="18"/>
  <c r="N50" i="18"/>
  <c r="AV92" i="18"/>
  <c r="J53" i="18"/>
  <c r="BC92" i="18"/>
  <c r="Q53" i="18"/>
  <c r="Q120" i="18" s="1"/>
  <c r="Q121" i="18" s="1"/>
  <c r="BE89" i="18"/>
  <c r="S50" i="18"/>
  <c r="BB87" i="18"/>
  <c r="P49" i="18"/>
  <c r="BE86" i="18"/>
  <c r="S48" i="18"/>
  <c r="BA92" i="18"/>
  <c r="O53" i="18"/>
  <c r="O120" i="18" s="1"/>
  <c r="O121" i="18" s="1"/>
  <c r="AR89" i="18"/>
  <c r="F50" i="18"/>
  <c r="AR87" i="18"/>
  <c r="F49" i="18"/>
  <c r="AR86" i="18"/>
  <c r="F48" i="18"/>
  <c r="AQ92" i="18"/>
  <c r="E53" i="18"/>
  <c r="L50" i="18"/>
  <c r="AX89" i="18"/>
  <c r="AZ91" i="18"/>
  <c r="N52" i="18"/>
  <c r="BD87" i="18"/>
  <c r="R49" i="18"/>
  <c r="L48" i="18"/>
  <c r="AX86" i="18"/>
  <c r="AV90" i="18"/>
  <c r="J51" i="18"/>
  <c r="AT89" i="18"/>
  <c r="H50" i="18"/>
  <c r="AR91" i="18"/>
  <c r="F52" i="18"/>
  <c r="AV87" i="18"/>
  <c r="J49" i="18"/>
  <c r="AT86" i="18"/>
  <c r="H48" i="18"/>
  <c r="AR90" i="18"/>
  <c r="F51" i="18"/>
  <c r="BD89" i="18"/>
  <c r="R50" i="18"/>
  <c r="BB91" i="18"/>
  <c r="P52" i="18"/>
  <c r="AZ87" i="18"/>
  <c r="N49" i="18"/>
  <c r="AZ86" i="18"/>
  <c r="N48" i="18"/>
  <c r="BB90" i="18"/>
  <c r="P51" i="18"/>
  <c r="K50" i="18"/>
  <c r="AW89" i="18"/>
  <c r="AV91" i="18"/>
  <c r="J52" i="18"/>
  <c r="BE87" i="18"/>
  <c r="S49" i="18"/>
  <c r="AW86" i="18"/>
  <c r="K48" i="18"/>
  <c r="BF112" i="10" a="1"/>
  <c r="BF112" i="10" s="1"/>
  <c r="T53" i="10" s="1"/>
  <c r="BF92" i="10"/>
  <c r="E53" i="16"/>
  <c r="AQ92" i="16"/>
  <c r="N50" i="10"/>
  <c r="AZ89" i="10"/>
  <c r="G50" i="16"/>
  <c r="AS89" i="16"/>
  <c r="BD91" i="10"/>
  <c r="R52" i="10"/>
  <c r="AS91" i="16"/>
  <c r="G52" i="16"/>
  <c r="AU86" i="10"/>
  <c r="I48" i="10"/>
  <c r="I48" i="16"/>
  <c r="AU86" i="16"/>
  <c r="AZ90" i="16"/>
  <c r="N51" i="16"/>
  <c r="N49" i="16"/>
  <c r="AZ88" i="16"/>
  <c r="BA89" i="10"/>
  <c r="O50" i="10"/>
  <c r="E50" i="16"/>
  <c r="AQ89" i="16"/>
  <c r="BF91" i="10"/>
  <c r="BF111" i="10" a="1"/>
  <c r="BF111" i="10" s="1"/>
  <c r="T52" i="10" s="1"/>
  <c r="E52" i="16"/>
  <c r="AQ91" i="16"/>
  <c r="AV86" i="10"/>
  <c r="J48" i="10"/>
  <c r="E48" i="16"/>
  <c r="AQ86" i="16"/>
  <c r="AW88" i="10"/>
  <c r="R51" i="16"/>
  <c r="BD90" i="16"/>
  <c r="S49" i="16"/>
  <c r="BE88" i="16"/>
  <c r="BF86" i="10"/>
  <c r="BF107" i="10" a="1"/>
  <c r="BF107" i="10" s="1"/>
  <c r="T48" i="10" s="1"/>
  <c r="AS86" i="16"/>
  <c r="G48" i="16"/>
  <c r="AP88" i="10"/>
  <c r="BB90" i="16"/>
  <c r="P51" i="16"/>
  <c r="AV88" i="16"/>
  <c r="AZ90" i="10"/>
  <c r="N51" i="10"/>
  <c r="AU88" i="10"/>
  <c r="L51" i="16"/>
  <c r="AX90" i="16"/>
  <c r="BB88" i="16"/>
  <c r="AW86" i="16"/>
  <c r="K48" i="16"/>
  <c r="AR92" i="10"/>
  <c r="F53" i="10"/>
  <c r="BC90" i="10"/>
  <c r="Q51" i="10"/>
  <c r="AY88" i="10"/>
  <c r="H51" i="16"/>
  <c r="AT90" i="16"/>
  <c r="BF88" i="16"/>
  <c r="BF108" i="16" a="1"/>
  <c r="BF108" i="16" s="1"/>
  <c r="T49" i="16" s="1"/>
  <c r="AS92" i="10"/>
  <c r="G53" i="10"/>
  <c r="AU89" i="10"/>
  <c r="I50" i="10"/>
  <c r="F50" i="16"/>
  <c r="AR89" i="16"/>
  <c r="BA91" i="10"/>
  <c r="O52" i="10"/>
  <c r="J52" i="16"/>
  <c r="AV91" i="16"/>
  <c r="L51" i="10"/>
  <c r="AX90" i="10"/>
  <c r="AT88" i="10"/>
  <c r="F51" i="16"/>
  <c r="AR90" i="16"/>
  <c r="BC88" i="16"/>
  <c r="S51" i="16"/>
  <c r="BE90" i="16"/>
  <c r="BB92" i="16"/>
  <c r="P53" i="16"/>
  <c r="P120" i="16" s="1"/>
  <c r="P121" i="16" s="1"/>
  <c r="AX89" i="10"/>
  <c r="L50" i="10"/>
  <c r="R50" i="16"/>
  <c r="BD89" i="16"/>
  <c r="AY91" i="10"/>
  <c r="M52" i="10"/>
  <c r="S52" i="16"/>
  <c r="BE91" i="16"/>
  <c r="AQ86" i="10"/>
  <c r="E48" i="10"/>
  <c r="AX86" i="16"/>
  <c r="L48" i="16"/>
  <c r="AR90" i="10"/>
  <c r="F51" i="10"/>
  <c r="G49" i="10"/>
  <c r="AS88" i="10"/>
  <c r="BF110" i="16" a="1"/>
  <c r="BF110" i="16" s="1"/>
  <c r="T51" i="16" s="1"/>
  <c r="BF90" i="16"/>
  <c r="BA88" i="16"/>
  <c r="S52" i="10"/>
  <c r="BE91" i="10"/>
  <c r="R53" i="16"/>
  <c r="BD92" i="16"/>
  <c r="AW89" i="10"/>
  <c r="K50" i="10"/>
  <c r="L50" i="16"/>
  <c r="AX89" i="16"/>
  <c r="AW91" i="10"/>
  <c r="K52" i="10"/>
  <c r="BB91" i="16"/>
  <c r="P52" i="16"/>
  <c r="AS86" i="10"/>
  <c r="G48" i="10"/>
  <c r="R48" i="16"/>
  <c r="BD86" i="16"/>
  <c r="M51" i="10"/>
  <c r="AY90" i="10"/>
  <c r="AQ88" i="10"/>
  <c r="BC90" i="16"/>
  <c r="Q51" i="16"/>
  <c r="M49" i="16"/>
  <c r="AY88" i="16"/>
  <c r="BF89" i="10"/>
  <c r="BF109" i="10" a="1"/>
  <c r="BF109" i="10" s="1"/>
  <c r="T50" i="10" s="1"/>
  <c r="BE89" i="16"/>
  <c r="S50" i="16"/>
  <c r="AV91" i="10"/>
  <c r="J52" i="10"/>
  <c r="N52" i="16"/>
  <c r="AZ91" i="16"/>
  <c r="BD86" i="10"/>
  <c r="R48" i="10"/>
  <c r="H48" i="16"/>
  <c r="AT86" i="16"/>
  <c r="AU90" i="10"/>
  <c r="I51" i="10"/>
  <c r="AR88" i="10"/>
  <c r="O51" i="16"/>
  <c r="BA90" i="16"/>
  <c r="AP88" i="16"/>
  <c r="D49" i="16"/>
  <c r="I52" i="16"/>
  <c r="AU91" i="16"/>
  <c r="AS89" i="10"/>
  <c r="G50" i="10"/>
  <c r="BD89" i="10"/>
  <c r="R50" i="10"/>
  <c r="AV89" i="16"/>
  <c r="J50" i="16"/>
  <c r="L52" i="10"/>
  <c r="AX91" i="10"/>
  <c r="L52" i="16"/>
  <c r="AX91" i="16"/>
  <c r="O48" i="10"/>
  <c r="BA86" i="10"/>
  <c r="AR86" i="16"/>
  <c r="F48" i="16"/>
  <c r="D51" i="10"/>
  <c r="AP90" i="10"/>
  <c r="AV88" i="10"/>
  <c r="M51" i="16"/>
  <c r="AY90" i="16"/>
  <c r="AW88" i="16"/>
  <c r="I50" i="16"/>
  <c r="AU89" i="16"/>
  <c r="BC92" i="10"/>
  <c r="Q53" i="10"/>
  <c r="AT92" i="16"/>
  <c r="H53" i="16"/>
  <c r="BE92" i="10"/>
  <c r="S53" i="10"/>
  <c r="F53" i="16"/>
  <c r="AR92" i="16"/>
  <c r="AY89" i="10"/>
  <c r="M50" i="10"/>
  <c r="N50" i="16"/>
  <c r="AZ89" i="16"/>
  <c r="BB91" i="10"/>
  <c r="P52" i="10"/>
  <c r="H52" i="16"/>
  <c r="AT91" i="16"/>
  <c r="BE86" i="10"/>
  <c r="S48" i="10"/>
  <c r="BE86" i="16"/>
  <c r="S48" i="16"/>
  <c r="AQ90" i="10"/>
  <c r="E51" i="10"/>
  <c r="BD88" i="10"/>
  <c r="K51" i="16"/>
  <c r="AW90" i="16"/>
  <c r="AU88" i="16"/>
  <c r="BF90" i="10"/>
  <c r="BF110" i="10" a="1"/>
  <c r="BF110" i="10" s="1"/>
  <c r="T51" i="10" s="1"/>
  <c r="BD92" i="10"/>
  <c r="R53" i="10"/>
  <c r="R120" i="10" s="1"/>
  <c r="R121" i="10" s="1"/>
  <c r="N53" i="16"/>
  <c r="N120" i="16" s="1"/>
  <c r="N121" i="16" s="1"/>
  <c r="AZ92" i="16"/>
  <c r="BE89" i="10"/>
  <c r="S50" i="10"/>
  <c r="BB89" i="16"/>
  <c r="P50" i="16"/>
  <c r="AT91" i="10"/>
  <c r="H52" i="10"/>
  <c r="F52" i="16"/>
  <c r="AR91" i="16"/>
  <c r="BC86" i="10"/>
  <c r="Q48" i="10"/>
  <c r="N48" i="16"/>
  <c r="AZ86" i="16"/>
  <c r="BB90" i="10"/>
  <c r="P51" i="10"/>
  <c r="AX88" i="10"/>
  <c r="L49" i="10"/>
  <c r="AP90" i="16"/>
  <c r="D51" i="16"/>
  <c r="AQ88" i="16"/>
  <c r="N53" i="10"/>
  <c r="AZ92" i="10"/>
  <c r="AW92" i="10"/>
  <c r="K53" i="10"/>
  <c r="K120" i="10" s="1"/>
  <c r="K121" i="10" s="1"/>
  <c r="S53" i="16"/>
  <c r="BE92" i="16"/>
  <c r="D50" i="10"/>
  <c r="AP89" i="10"/>
  <c r="H50" i="16"/>
  <c r="AT89" i="16"/>
  <c r="AS91" i="10"/>
  <c r="G52" i="10"/>
  <c r="BD91" i="16"/>
  <c r="R52" i="16"/>
  <c r="BB86" i="10"/>
  <c r="P48" i="10"/>
  <c r="BB86" i="16"/>
  <c r="P48" i="16"/>
  <c r="BA90" i="10"/>
  <c r="O51" i="10"/>
  <c r="BC88" i="10"/>
  <c r="AU90" i="16"/>
  <c r="I51" i="16"/>
  <c r="AS88" i="16"/>
  <c r="L53" i="16"/>
  <c r="L120" i="16" s="1"/>
  <c r="L121" i="16" s="1"/>
  <c r="AX92" i="16"/>
  <c r="BF112" i="16" a="1"/>
  <c r="BF112" i="16" s="1"/>
  <c r="T53" i="16" s="1"/>
  <c r="BF92" i="16"/>
  <c r="AV89" i="10"/>
  <c r="J50" i="10"/>
  <c r="BF109" i="16" a="1"/>
  <c r="BF109" i="16" s="1"/>
  <c r="T50" i="16" s="1"/>
  <c r="BF89" i="16"/>
  <c r="AQ91" i="10"/>
  <c r="E52" i="10"/>
  <c r="BF111" i="16" a="1"/>
  <c r="BF111" i="16" s="1"/>
  <c r="T52" i="16" s="1"/>
  <c r="BF91" i="16"/>
  <c r="N48" i="10"/>
  <c r="AZ86" i="10"/>
  <c r="AV86" i="16"/>
  <c r="J48" i="16"/>
  <c r="AW90" i="10"/>
  <c r="K51" i="10"/>
  <c r="BB88" i="10"/>
  <c r="G51" i="16"/>
  <c r="AS90" i="16"/>
  <c r="AQ89" i="10"/>
  <c r="E50" i="10"/>
  <c r="Q50" i="16"/>
  <c r="BC89" i="16"/>
  <c r="AU91" i="10"/>
  <c r="I52" i="10"/>
  <c r="BC91" i="16"/>
  <c r="Q52" i="16"/>
  <c r="M48" i="10"/>
  <c r="AY86" i="10"/>
  <c r="BF86" i="16"/>
  <c r="BF107" i="16" a="1"/>
  <c r="BF107" i="16" s="1"/>
  <c r="T48" i="16" s="1"/>
  <c r="AV90" i="10"/>
  <c r="J51" i="10"/>
  <c r="BA88" i="10"/>
  <c r="AQ90" i="16"/>
  <c r="E51" i="16"/>
  <c r="I53" i="16"/>
  <c r="I120" i="16" s="1"/>
  <c r="I121" i="16" s="1"/>
  <c r="AU92" i="16"/>
  <c r="E53" i="10"/>
  <c r="E120" i="10" s="1"/>
  <c r="E121" i="10" s="1"/>
  <c r="AQ92" i="10"/>
  <c r="BC92" i="16"/>
  <c r="Q53" i="16"/>
  <c r="BA92" i="16"/>
  <c r="O53" i="16"/>
  <c r="O120" i="16" s="1"/>
  <c r="O121" i="16" s="1"/>
  <c r="AR89" i="10"/>
  <c r="F50" i="10"/>
  <c r="O50" i="16"/>
  <c r="BA89" i="16"/>
  <c r="AR91" i="10"/>
  <c r="F52" i="10"/>
  <c r="O52" i="16"/>
  <c r="BA91" i="16"/>
  <c r="D48" i="10"/>
  <c r="AP86" i="10"/>
  <c r="Q48" i="16"/>
  <c r="BC86" i="16"/>
  <c r="R51" i="10"/>
  <c r="BD90" i="10"/>
  <c r="BE88" i="10"/>
  <c r="S49" i="10"/>
  <c r="AT88" i="16"/>
  <c r="BB92" i="10"/>
  <c r="P53" i="10"/>
  <c r="P120" i="10" s="1"/>
  <c r="P121" i="10" s="1"/>
  <c r="AT92" i="10"/>
  <c r="H53" i="10"/>
  <c r="H120" i="10" s="1"/>
  <c r="H121" i="10" s="1"/>
  <c r="AX92" i="10"/>
  <c r="L53" i="10"/>
  <c r="L120" i="10" s="1"/>
  <c r="L121" i="10" s="1"/>
  <c r="AV92" i="10"/>
  <c r="J53" i="10"/>
  <c r="J120" i="10" s="1"/>
  <c r="J121" i="10" s="1"/>
  <c r="AY92" i="16"/>
  <c r="M53" i="16"/>
  <c r="Q50" i="10"/>
  <c r="BC89" i="10"/>
  <c r="AY89" i="16"/>
  <c r="M50" i="16"/>
  <c r="BC91" i="10"/>
  <c r="Q52" i="10"/>
  <c r="M52" i="16"/>
  <c r="AY91" i="16"/>
  <c r="AT86" i="10"/>
  <c r="H48" i="10"/>
  <c r="O48" i="16"/>
  <c r="BA86" i="16"/>
  <c r="AT90" i="10"/>
  <c r="H51" i="10"/>
  <c r="AZ88" i="10"/>
  <c r="F49" i="16"/>
  <c r="AR88" i="16"/>
  <c r="AS92" i="16"/>
  <c r="G53" i="16"/>
  <c r="G120" i="16" s="1"/>
  <c r="G121" i="16" s="1"/>
  <c r="BA92" i="10"/>
  <c r="O53" i="10"/>
  <c r="O120" i="10" s="1"/>
  <c r="O121" i="10" s="1"/>
  <c r="AU92" i="10"/>
  <c r="I53" i="10"/>
  <c r="D53" i="16"/>
  <c r="AP92" i="16"/>
  <c r="AT89" i="10"/>
  <c r="H50" i="10"/>
  <c r="AW89" i="16"/>
  <c r="K50" i="16"/>
  <c r="AZ91" i="10"/>
  <c r="N52" i="10"/>
  <c r="D52" i="16"/>
  <c r="AP91" i="16"/>
  <c r="AR86" i="10"/>
  <c r="F48" i="10"/>
  <c r="M48" i="16"/>
  <c r="AY86" i="16"/>
  <c r="AS90" i="10"/>
  <c r="G51" i="10"/>
  <c r="BF88" i="10"/>
  <c r="BF108" i="10" a="1"/>
  <c r="BF108" i="10" s="1"/>
  <c r="T49" i="10" s="1"/>
  <c r="AX88" i="16"/>
  <c r="AW86" i="10"/>
  <c r="K48" i="10"/>
  <c r="AV92" i="16"/>
  <c r="J53" i="16"/>
  <c r="J120" i="16" s="1"/>
  <c r="J121" i="16" s="1"/>
  <c r="AY92" i="10"/>
  <c r="M53" i="10"/>
  <c r="AP92" i="10"/>
  <c r="D53" i="10"/>
  <c r="D120" i="10" s="1"/>
  <c r="D121" i="10" s="1"/>
  <c r="K53" i="16"/>
  <c r="AW92" i="16"/>
  <c r="BB89" i="10"/>
  <c r="P50" i="10"/>
  <c r="D50" i="16"/>
  <c r="AP89" i="16"/>
  <c r="AP91" i="10"/>
  <c r="D52" i="10"/>
  <c r="AW91" i="16"/>
  <c r="K52" i="16"/>
  <c r="L48" i="10"/>
  <c r="AX86" i="10"/>
  <c r="AP86" i="16"/>
  <c r="D48" i="16"/>
  <c r="BE90" i="10"/>
  <c r="S51" i="10"/>
  <c r="AV90" i="16"/>
  <c r="J51" i="16"/>
  <c r="BD88" i="16"/>
  <c r="BK19" i="15"/>
  <c r="BK20" i="15" s="1"/>
  <c r="BJ20" i="15"/>
  <c r="T120" i="16" l="1"/>
  <c r="T121" i="16" s="1"/>
  <c r="S120" i="16"/>
  <c r="S121" i="16" s="1"/>
  <c r="E120" i="16"/>
  <c r="E121" i="16" s="1"/>
  <c r="R120" i="18"/>
  <c r="R121" i="18" s="1"/>
  <c r="I120" i="10"/>
  <c r="I121" i="10" s="1"/>
  <c r="M120" i="10"/>
  <c r="M121" i="10" s="1"/>
  <c r="F120" i="16"/>
  <c r="F121" i="16" s="1"/>
  <c r="D120" i="16"/>
  <c r="D121" i="16" s="1"/>
  <c r="S120" i="10"/>
  <c r="S121" i="10" s="1"/>
  <c r="L120" i="17"/>
  <c r="L121" i="17" s="1"/>
  <c r="T120" i="17"/>
  <c r="T121" i="17" s="1"/>
  <c r="P120" i="18"/>
  <c r="P121" i="18" s="1"/>
  <c r="M120" i="16"/>
  <c r="M121" i="16" s="1"/>
  <c r="N120" i="10"/>
  <c r="N121" i="10" s="1"/>
  <c r="N120" i="18"/>
  <c r="N121" i="18" s="1"/>
  <c r="R120" i="16"/>
  <c r="R121" i="16" s="1"/>
  <c r="G120" i="10"/>
  <c r="G121" i="10" s="1"/>
  <c r="M120" i="18"/>
  <c r="M121" i="18" s="1"/>
  <c r="D120" i="18"/>
  <c r="D121" i="18" s="1"/>
  <c r="K120" i="18"/>
  <c r="K121" i="18" s="1"/>
  <c r="K120" i="16"/>
  <c r="K121" i="16" s="1"/>
  <c r="I120" i="17"/>
  <c r="I121" i="17" s="1"/>
  <c r="S120" i="18"/>
  <c r="S121" i="18" s="1"/>
  <c r="Q120" i="16"/>
  <c r="Q121" i="16" s="1"/>
  <c r="H120" i="16"/>
  <c r="H121" i="16" s="1"/>
  <c r="J120" i="18"/>
  <c r="J121" i="18" s="1"/>
  <c r="F120" i="18"/>
  <c r="F121" i="18" s="1"/>
  <c r="Q120" i="10"/>
  <c r="Q121" i="10" s="1"/>
  <c r="E120" i="18"/>
  <c r="E121" i="18" s="1"/>
  <c r="T120" i="10"/>
  <c r="T121" i="10" s="1"/>
  <c r="G120" i="18"/>
  <c r="G121" i="18" s="1"/>
  <c r="F120" i="10"/>
  <c r="F121" i="10" s="1"/>
  <c r="T120" i="18"/>
  <c r="T121" i="18" s="1"/>
  <c r="I120" i="18"/>
  <c r="I121" i="18" s="1"/>
  <c r="C122" i="17" l="1"/>
  <c r="D136" i="17" s="1"/>
  <c r="C147" i="10"/>
  <c r="C147" i="16"/>
  <c r="C147" i="18"/>
  <c r="C147" i="17"/>
  <c r="C122" i="10"/>
  <c r="C122" i="18"/>
  <c r="C123" i="18" s="1"/>
  <c r="C122" i="16"/>
  <c r="D136" i="16" s="1"/>
  <c r="C123" i="17"/>
  <c r="E136" i="17"/>
  <c r="C41" i="13" s="1"/>
  <c r="D41" i="13" s="1"/>
  <c r="C136" i="17"/>
  <c r="D136" i="10"/>
  <c r="C123" i="10"/>
  <c r="C134" i="10" a="1"/>
  <c r="C132" i="10" a="1"/>
  <c r="C129" i="10" a="1"/>
  <c r="C134" i="18" a="1"/>
  <c r="E15" i="13" a="1"/>
  <c r="E11" i="13" a="1"/>
  <c r="C128" i="17" a="1"/>
  <c r="C130" i="18" a="1"/>
  <c r="C130" i="17" a="1"/>
  <c r="E8" i="13" a="1"/>
  <c r="E16" i="13" a="1"/>
  <c r="C132" i="18" a="1"/>
  <c r="C140" i="18" a="1"/>
  <c r="C128" i="10" a="1"/>
  <c r="C141" i="17" a="1"/>
  <c r="E10" i="13" a="1"/>
  <c r="C140" i="17" a="1"/>
  <c r="C133" i="17" a="1"/>
  <c r="C132" i="17" a="1"/>
  <c r="F11" i="13" a="1"/>
  <c r="C129" i="18" a="1"/>
  <c r="C129" i="17" a="1"/>
  <c r="E9" i="13" a="1"/>
  <c r="C134" i="17" a="1"/>
  <c r="C133" i="18" a="1"/>
  <c r="C140" i="10" a="1"/>
  <c r="C141" i="18" a="1"/>
  <c r="C123" i="16" l="1"/>
  <c r="D136" i="18"/>
  <c r="C130" i="17"/>
  <c r="C140" i="17"/>
  <c r="D140" i="17" s="1"/>
  <c r="C132" i="17"/>
  <c r="D132" i="17" s="1"/>
  <c r="E132" i="17" s="1"/>
  <c r="H13" i="15" s="1"/>
  <c r="H84" i="15" s="1"/>
  <c r="C141" i="17"/>
  <c r="D141" i="17" s="1"/>
  <c r="E141" i="17" s="1"/>
  <c r="C134" i="17"/>
  <c r="E18" i="13" s="1"/>
  <c r="C133" i="17"/>
  <c r="D133" i="17" s="1"/>
  <c r="E133" i="17" s="1"/>
  <c r="C129" i="17"/>
  <c r="C128" i="17"/>
  <c r="F11" i="13"/>
  <c r="E9" i="13"/>
  <c r="E11" i="13"/>
  <c r="E16" i="13"/>
  <c r="E8" i="13"/>
  <c r="E10" i="13"/>
  <c r="E15" i="13"/>
  <c r="C134" i="18"/>
  <c r="F18" i="13" s="1"/>
  <c r="C129" i="18"/>
  <c r="C130" i="18"/>
  <c r="C140" i="18"/>
  <c r="C133" i="18"/>
  <c r="D133" i="18" s="1"/>
  <c r="E133" i="18" s="1"/>
  <c r="C141" i="18"/>
  <c r="D141" i="18" s="1"/>
  <c r="E141" i="18" s="1"/>
  <c r="C132" i="18"/>
  <c r="D132" i="18" s="1"/>
  <c r="E132" i="18" s="1"/>
  <c r="E136" i="18"/>
  <c r="C42" i="13" s="1"/>
  <c r="D42" i="13" s="1"/>
  <c r="C136" i="18"/>
  <c r="C140" i="10"/>
  <c r="D140" i="10" s="1"/>
  <c r="C132" i="10"/>
  <c r="D132" i="10" s="1"/>
  <c r="E132" i="10" s="1"/>
  <c r="C129" i="10"/>
  <c r="C128" i="10"/>
  <c r="C134" i="10"/>
  <c r="C136" i="10"/>
  <c r="E136" i="10"/>
  <c r="C39" i="13" s="1"/>
  <c r="D39" i="13" s="1"/>
  <c r="E136" i="16"/>
  <c r="C40" i="13" s="1"/>
  <c r="D40" i="13" s="1"/>
  <c r="C136" i="16"/>
  <c r="C15" i="13" a="1"/>
  <c r="E14" i="13" a="1"/>
  <c r="C16" i="13" a="1"/>
  <c r="C140" i="16" a="1"/>
  <c r="D9" i="13" a="1"/>
  <c r="E13" i="13" a="1"/>
  <c r="C128" i="16" a="1"/>
  <c r="C130" i="16" a="1"/>
  <c r="F12" i="13" a="1"/>
  <c r="C11" i="13" a="1"/>
  <c r="C130" i="10" a="1"/>
  <c r="C14" i="13" a="1"/>
  <c r="C134" i="16" a="1"/>
  <c r="D10" i="13" a="1"/>
  <c r="D17" i="13" a="1"/>
  <c r="F17" i="13" a="1"/>
  <c r="C8" i="13" a="1"/>
  <c r="F16" i="13" a="1"/>
  <c r="F8" i="13" a="1"/>
  <c r="C129" i="16" a="1"/>
  <c r="C9" i="13" a="1"/>
  <c r="F13" i="13" a="1"/>
  <c r="C141" i="10" a="1"/>
  <c r="D16" i="13" a="1"/>
  <c r="C133" i="10" a="1"/>
  <c r="C133" i="16" a="1"/>
  <c r="F9" i="13" a="1"/>
  <c r="D12" i="13" a="1"/>
  <c r="C12" i="13" a="1"/>
  <c r="C10" i="13" a="1"/>
  <c r="C132" i="16" a="1"/>
  <c r="F10" i="13" a="1"/>
  <c r="D11" i="13" a="1"/>
  <c r="C17" i="13" a="1"/>
  <c r="C128" i="18" a="1"/>
  <c r="D14" i="13" a="1"/>
  <c r="F14" i="13" a="1"/>
  <c r="D13" i="13" a="1"/>
  <c r="C141" i="16" a="1"/>
  <c r="D15" i="13" a="1"/>
  <c r="D8" i="13" a="1"/>
  <c r="F15" i="13" a="1"/>
  <c r="E17" i="13" a="1"/>
  <c r="C13" i="13" a="1"/>
  <c r="E12" i="13" a="1"/>
  <c r="D17" i="13" l="1"/>
  <c r="C141" i="16"/>
  <c r="D141" i="16" s="1"/>
  <c r="E141" i="16" s="1"/>
  <c r="D13" i="13"/>
  <c r="C9" i="13"/>
  <c r="C18" i="13"/>
  <c r="B4" i="13"/>
  <c r="E14" i="13"/>
  <c r="E13" i="13"/>
  <c r="E17" i="13"/>
  <c r="E12" i="13"/>
  <c r="C128" i="18"/>
  <c r="C133" i="10"/>
  <c r="D133" i="10" s="1"/>
  <c r="E133" i="10" s="1"/>
  <c r="C141" i="10"/>
  <c r="D141" i="10" s="1"/>
  <c r="E141" i="10" s="1"/>
  <c r="C130" i="10"/>
  <c r="P13" i="15"/>
  <c r="P84" i="15" s="1"/>
  <c r="Q13" i="15"/>
  <c r="Q84" i="15" s="1"/>
  <c r="C135" i="17"/>
  <c r="D135" i="17" s="1"/>
  <c r="E135" i="17" s="1"/>
  <c r="J8" i="15" s="1"/>
  <c r="J79" i="15" s="1"/>
  <c r="D134" i="17"/>
  <c r="E134" i="17" s="1"/>
  <c r="C132" i="16"/>
  <c r="D132" i="16" s="1"/>
  <c r="E132" i="16" s="1"/>
  <c r="F12" i="15" s="1"/>
  <c r="F83" i="15" s="1"/>
  <c r="C134" i="16"/>
  <c r="D18" i="13" s="1"/>
  <c r="D14" i="13"/>
  <c r="C130" i="16"/>
  <c r="D12" i="13"/>
  <c r="C128" i="16"/>
  <c r="D16" i="13"/>
  <c r="C140" i="16"/>
  <c r="D10" i="13"/>
  <c r="D15" i="13"/>
  <c r="C133" i="16"/>
  <c r="D133" i="16" s="1"/>
  <c r="E133" i="16" s="1"/>
  <c r="C129" i="16"/>
  <c r="D11" i="13"/>
  <c r="R13" i="15"/>
  <c r="R84" i="15" s="1"/>
  <c r="L13" i="15"/>
  <c r="L84" i="15" s="1"/>
  <c r="S13" i="15"/>
  <c r="S84" i="15" s="1"/>
  <c r="G13" i="15"/>
  <c r="G84" i="15" s="1"/>
  <c r="U13" i="15"/>
  <c r="U84" i="15" s="1"/>
  <c r="C142" i="17"/>
  <c r="M13" i="15"/>
  <c r="M84" i="15" s="1"/>
  <c r="V13" i="15"/>
  <c r="V84" i="15" s="1"/>
  <c r="C143" i="17"/>
  <c r="D143" i="17" s="1"/>
  <c r="E143" i="17" s="1"/>
  <c r="N13" i="15"/>
  <c r="N84" i="15" s="1"/>
  <c r="W13" i="15"/>
  <c r="W84" i="15" s="1"/>
  <c r="O13" i="15"/>
  <c r="O84" i="15" s="1"/>
  <c r="J13" i="15"/>
  <c r="J84" i="15" s="1"/>
  <c r="D13" i="15"/>
  <c r="D84" i="15" s="1"/>
  <c r="F13" i="15"/>
  <c r="F84" i="15" s="1"/>
  <c r="I13" i="15"/>
  <c r="I84" i="15" s="1"/>
  <c r="K13" i="15"/>
  <c r="K84" i="15" s="1"/>
  <c r="T13" i="15"/>
  <c r="T84" i="15" s="1"/>
  <c r="E13" i="15"/>
  <c r="E84" i="15" s="1"/>
  <c r="C15" i="13"/>
  <c r="F16" i="13"/>
  <c r="C8" i="13"/>
  <c r="D8" i="13"/>
  <c r="C17" i="13"/>
  <c r="F15" i="13"/>
  <c r="F8" i="13"/>
  <c r="C12" i="13"/>
  <c r="F9" i="13"/>
  <c r="D9" i="13"/>
  <c r="C11" i="13"/>
  <c r="F17" i="13"/>
  <c r="F10" i="13"/>
  <c r="C14" i="13"/>
  <c r="F12" i="13"/>
  <c r="F14" i="13"/>
  <c r="C16" i="13"/>
  <c r="C10" i="13"/>
  <c r="C13" i="13"/>
  <c r="F13" i="13"/>
  <c r="S14" i="15"/>
  <c r="S85" i="15" s="1"/>
  <c r="R14" i="15"/>
  <c r="R85" i="15" s="1"/>
  <c r="Q14" i="15"/>
  <c r="Q85" i="15" s="1"/>
  <c r="P14" i="15"/>
  <c r="P85" i="15" s="1"/>
  <c r="O14" i="15"/>
  <c r="O85" i="15" s="1"/>
  <c r="N14" i="15"/>
  <c r="N85" i="15" s="1"/>
  <c r="M14" i="15"/>
  <c r="M85" i="15" s="1"/>
  <c r="F14" i="15"/>
  <c r="F85" i="15" s="1"/>
  <c r="L14" i="15"/>
  <c r="L85" i="15" s="1"/>
  <c r="I14" i="15"/>
  <c r="I85" i="15" s="1"/>
  <c r="G14" i="15"/>
  <c r="G85" i="15" s="1"/>
  <c r="E14" i="15"/>
  <c r="E85" i="15" s="1"/>
  <c r="W14" i="15"/>
  <c r="W85" i="15" s="1"/>
  <c r="U14" i="15"/>
  <c r="U85" i="15" s="1"/>
  <c r="K14" i="15"/>
  <c r="K85" i="15" s="1"/>
  <c r="J14" i="15"/>
  <c r="J85" i="15" s="1"/>
  <c r="H14" i="15"/>
  <c r="H85" i="15" s="1"/>
  <c r="D14" i="15"/>
  <c r="D85" i="15" s="1"/>
  <c r="V14" i="15"/>
  <c r="V85" i="15" s="1"/>
  <c r="T14" i="15"/>
  <c r="T85" i="15" s="1"/>
  <c r="D11" i="15"/>
  <c r="D82" i="15" s="1"/>
  <c r="E11" i="15"/>
  <c r="E82" i="15" s="1"/>
  <c r="K11" i="15"/>
  <c r="K82" i="15" s="1"/>
  <c r="L11" i="15"/>
  <c r="L82" i="15" s="1"/>
  <c r="R11" i="15"/>
  <c r="R82" i="15" s="1"/>
  <c r="T11" i="15"/>
  <c r="T82" i="15" s="1"/>
  <c r="G11" i="15"/>
  <c r="G82" i="15" s="1"/>
  <c r="J11" i="15"/>
  <c r="J82" i="15" s="1"/>
  <c r="M11" i="15"/>
  <c r="M82" i="15" s="1"/>
  <c r="N11" i="15"/>
  <c r="N82" i="15" s="1"/>
  <c r="W11" i="15"/>
  <c r="W82" i="15" s="1"/>
  <c r="F11" i="15"/>
  <c r="F82" i="15" s="1"/>
  <c r="O11" i="15"/>
  <c r="O82" i="15" s="1"/>
  <c r="Q11" i="15"/>
  <c r="Q82" i="15" s="1"/>
  <c r="S11" i="15"/>
  <c r="S82" i="15" s="1"/>
  <c r="V11" i="15"/>
  <c r="V82" i="15" s="1"/>
  <c r="P11" i="15"/>
  <c r="P82" i="15" s="1"/>
  <c r="I11" i="15"/>
  <c r="I82" i="15" s="1"/>
  <c r="U11" i="15"/>
  <c r="U82" i="15" s="1"/>
  <c r="H11" i="15"/>
  <c r="H82" i="15" s="1"/>
  <c r="D140" i="18"/>
  <c r="C143" i="18"/>
  <c r="D143" i="18" s="1"/>
  <c r="E143" i="18" s="1"/>
  <c r="C142" i="18"/>
  <c r="E140" i="17"/>
  <c r="E142" i="17" s="1"/>
  <c r="D142" i="17"/>
  <c r="C43" i="13"/>
  <c r="D43" i="13" s="1"/>
  <c r="C135" i="18"/>
  <c r="D135" i="18" s="1"/>
  <c r="E135" i="18" s="1"/>
  <c r="D134" i="18"/>
  <c r="E134" i="18" s="1"/>
  <c r="E140" i="10"/>
  <c r="C135" i="10"/>
  <c r="D135" i="10" s="1"/>
  <c r="E135" i="10" s="1"/>
  <c r="D134" i="10"/>
  <c r="E134" i="10" s="1"/>
  <c r="C143" i="10" l="1"/>
  <c r="D143" i="10" s="1"/>
  <c r="E143" i="10" s="1"/>
  <c r="C143" i="16"/>
  <c r="D143" i="16" s="1"/>
  <c r="E143" i="16" s="1"/>
  <c r="D6" i="15"/>
  <c r="D77" i="15" s="1"/>
  <c r="C142" i="10"/>
  <c r="C135" i="16"/>
  <c r="D135" i="16" s="1"/>
  <c r="E135" i="16" s="1"/>
  <c r="Y7" i="15" s="1"/>
  <c r="Y78" i="15" s="1"/>
  <c r="K12" i="15"/>
  <c r="K83" i="15" s="1"/>
  <c r="K86" i="15" s="1"/>
  <c r="D134" i="16"/>
  <c r="E134" i="16" s="1"/>
  <c r="D12" i="15"/>
  <c r="D83" i="15" s="1"/>
  <c r="D86" i="15" s="1"/>
  <c r="P12" i="15"/>
  <c r="P83" i="15" s="1"/>
  <c r="P86" i="15" s="1"/>
  <c r="I8" i="15"/>
  <c r="I79" i="15" s="1"/>
  <c r="D8" i="15"/>
  <c r="D79" i="15" s="1"/>
  <c r="M8" i="15"/>
  <c r="M79" i="15" s="1"/>
  <c r="R8" i="15"/>
  <c r="R79" i="15" s="1"/>
  <c r="F8" i="15"/>
  <c r="F79" i="15" s="1"/>
  <c r="AE8" i="15"/>
  <c r="AE79" i="15" s="1"/>
  <c r="P8" i="15"/>
  <c r="P79" i="15" s="1"/>
  <c r="W8" i="15"/>
  <c r="W79" i="15" s="1"/>
  <c r="K8" i="15"/>
  <c r="K79" i="15" s="1"/>
  <c r="M12" i="15"/>
  <c r="M83" i="15" s="1"/>
  <c r="M86" i="15" s="1"/>
  <c r="E8" i="15"/>
  <c r="E79" i="15" s="1"/>
  <c r="N8" i="15"/>
  <c r="N79" i="15" s="1"/>
  <c r="N12" i="15"/>
  <c r="N83" i="15" s="1"/>
  <c r="N86" i="15" s="1"/>
  <c r="U8" i="15"/>
  <c r="U79" i="15" s="1"/>
  <c r="O8" i="15"/>
  <c r="O79" i="15" s="1"/>
  <c r="J12" i="15"/>
  <c r="J83" i="15" s="1"/>
  <c r="J86" i="15" s="1"/>
  <c r="V8" i="15"/>
  <c r="V79" i="15" s="1"/>
  <c r="L8" i="15"/>
  <c r="L79" i="15" s="1"/>
  <c r="R12" i="15"/>
  <c r="R83" i="15" s="1"/>
  <c r="R86" i="15" s="1"/>
  <c r="T8" i="15"/>
  <c r="T79" i="15" s="1"/>
  <c r="S8" i="15"/>
  <c r="S79" i="15" s="1"/>
  <c r="H8" i="15"/>
  <c r="H79" i="15" s="1"/>
  <c r="V12" i="15"/>
  <c r="V83" i="15" s="1"/>
  <c r="V86" i="15" s="1"/>
  <c r="Q8" i="15"/>
  <c r="Q79" i="15" s="1"/>
  <c r="G8" i="15"/>
  <c r="G79" i="15" s="1"/>
  <c r="AP8" i="15"/>
  <c r="AP79" i="15" s="1"/>
  <c r="H12" i="15"/>
  <c r="H83" i="15" s="1"/>
  <c r="H86" i="15" s="1"/>
  <c r="L12" i="15"/>
  <c r="L83" i="15" s="1"/>
  <c r="L86" i="15" s="1"/>
  <c r="U12" i="15"/>
  <c r="U83" i="15" s="1"/>
  <c r="U86" i="15" s="1"/>
  <c r="E12" i="15"/>
  <c r="E83" i="15" s="1"/>
  <c r="E86" i="15" s="1"/>
  <c r="Q12" i="15"/>
  <c r="Q83" i="15" s="1"/>
  <c r="Q86" i="15" s="1"/>
  <c r="W12" i="15"/>
  <c r="W83" i="15" s="1"/>
  <c r="W86" i="15" s="1"/>
  <c r="O12" i="15"/>
  <c r="O83" i="15" s="1"/>
  <c r="O86" i="15" s="1"/>
  <c r="S12" i="15"/>
  <c r="S83" i="15" s="1"/>
  <c r="S86" i="15" s="1"/>
  <c r="G12" i="15"/>
  <c r="G83" i="15" s="1"/>
  <c r="G86" i="15" s="1"/>
  <c r="T12" i="15"/>
  <c r="T83" i="15" s="1"/>
  <c r="T86" i="15" s="1"/>
  <c r="I12" i="15"/>
  <c r="I83" i="15" s="1"/>
  <c r="I86" i="15" s="1"/>
  <c r="C142" i="16"/>
  <c r="D140" i="16"/>
  <c r="E140" i="16" s="1"/>
  <c r="E142" i="16" s="1"/>
  <c r="BL13" i="15"/>
  <c r="BL84" i="15"/>
  <c r="F86" i="15"/>
  <c r="C81" i="15"/>
  <c r="C87" i="15" s="1"/>
  <c r="BL85" i="15"/>
  <c r="F15" i="15"/>
  <c r="J27" i="15"/>
  <c r="J43" i="15" s="1"/>
  <c r="J93" i="15" s="1"/>
  <c r="BL14" i="15"/>
  <c r="BL11" i="15"/>
  <c r="AC8" i="15"/>
  <c r="AC79" i="15" s="1"/>
  <c r="AI8" i="15"/>
  <c r="AI79" i="15" s="1"/>
  <c r="AU8" i="15"/>
  <c r="AU79" i="15" s="1"/>
  <c r="AQ8" i="15"/>
  <c r="AQ79" i="15" s="1"/>
  <c r="AH8" i="15"/>
  <c r="AH79" i="15" s="1"/>
  <c r="BC8" i="15"/>
  <c r="BC79" i="15" s="1"/>
  <c r="BE8" i="15"/>
  <c r="BE79" i="15" s="1"/>
  <c r="BJ8" i="15"/>
  <c r="BJ79" i="15" s="1"/>
  <c r="AM8" i="15"/>
  <c r="AM79" i="15" s="1"/>
  <c r="Y8" i="15"/>
  <c r="Y79" i="15" s="1"/>
  <c r="AO8" i="15"/>
  <c r="AO79" i="15" s="1"/>
  <c r="AY8" i="15"/>
  <c r="AY79" i="15" s="1"/>
  <c r="BH8" i="15"/>
  <c r="BH79" i="15" s="1"/>
  <c r="BA8" i="15"/>
  <c r="BA79" i="15" s="1"/>
  <c r="AW8" i="15"/>
  <c r="AW79" i="15" s="1"/>
  <c r="BB8" i="15"/>
  <c r="BB79" i="15" s="1"/>
  <c r="AZ8" i="15"/>
  <c r="AZ79" i="15" s="1"/>
  <c r="Z8" i="15"/>
  <c r="Z79" i="15" s="1"/>
  <c r="X8" i="15"/>
  <c r="X79" i="15" s="1"/>
  <c r="AB8" i="15"/>
  <c r="AB79" i="15" s="1"/>
  <c r="AT8" i="15"/>
  <c r="AT79" i="15" s="1"/>
  <c r="AL8" i="15"/>
  <c r="AL79" i="15" s="1"/>
  <c r="AK8" i="15"/>
  <c r="AK79" i="15" s="1"/>
  <c r="AJ8" i="15"/>
  <c r="AJ79" i="15" s="1"/>
  <c r="AD8" i="15"/>
  <c r="AD79" i="15" s="1"/>
  <c r="AV8" i="15"/>
  <c r="AV79" i="15" s="1"/>
  <c r="AR8" i="15"/>
  <c r="AR79" i="15" s="1"/>
  <c r="BG8" i="15"/>
  <c r="BG79" i="15" s="1"/>
  <c r="BF8" i="15"/>
  <c r="BF79" i="15" s="1"/>
  <c r="AG8" i="15"/>
  <c r="AG79" i="15" s="1"/>
  <c r="AA8" i="15"/>
  <c r="AA79" i="15" s="1"/>
  <c r="E9" i="15"/>
  <c r="E80" i="15" s="1"/>
  <c r="BI8" i="15"/>
  <c r="BI79" i="15" s="1"/>
  <c r="T9" i="15"/>
  <c r="T80" i="15" s="1"/>
  <c r="AF8" i="15"/>
  <c r="AF79" i="15" s="1"/>
  <c r="S9" i="15"/>
  <c r="S80" i="15" s="1"/>
  <c r="BD8" i="15"/>
  <c r="BD79" i="15" s="1"/>
  <c r="AN8" i="15"/>
  <c r="AN79" i="15" s="1"/>
  <c r="AN9" i="15"/>
  <c r="AN80" i="15" s="1"/>
  <c r="BK8" i="15"/>
  <c r="BK79" i="15" s="1"/>
  <c r="AS8" i="15"/>
  <c r="AS79" i="15" s="1"/>
  <c r="AX8" i="15"/>
  <c r="AX79" i="15" s="1"/>
  <c r="H9" i="15"/>
  <c r="H80" i="15" s="1"/>
  <c r="I9" i="15"/>
  <c r="I80" i="15" s="1"/>
  <c r="J9" i="15"/>
  <c r="J80" i="15" s="1"/>
  <c r="K9" i="15"/>
  <c r="K80" i="15" s="1"/>
  <c r="U9" i="15"/>
  <c r="U80" i="15" s="1"/>
  <c r="AM9" i="15"/>
  <c r="AM80" i="15" s="1"/>
  <c r="BI9" i="15"/>
  <c r="BI80" i="15" s="1"/>
  <c r="Y9" i="15"/>
  <c r="Y80" i="15" s="1"/>
  <c r="AS9" i="15"/>
  <c r="AS80" i="15" s="1"/>
  <c r="AQ9" i="15"/>
  <c r="AQ80" i="15" s="1"/>
  <c r="AP9" i="15"/>
  <c r="AP80" i="15" s="1"/>
  <c r="AF9" i="15"/>
  <c r="AF80" i="15" s="1"/>
  <c r="AZ9" i="15"/>
  <c r="AZ80" i="15" s="1"/>
  <c r="AG9" i="15"/>
  <c r="AG80" i="15" s="1"/>
  <c r="BA9" i="15"/>
  <c r="BA80" i="15" s="1"/>
  <c r="AH9" i="15"/>
  <c r="AH80" i="15" s="1"/>
  <c r="AO9" i="15"/>
  <c r="AO80" i="15" s="1"/>
  <c r="BB9" i="15"/>
  <c r="BB80" i="15" s="1"/>
  <c r="AR9" i="15"/>
  <c r="AR80" i="15" s="1"/>
  <c r="X9" i="15"/>
  <c r="X80" i="15" s="1"/>
  <c r="V9" i="15"/>
  <c r="V80" i="15" s="1"/>
  <c r="AT9" i="15"/>
  <c r="AT80" i="15" s="1"/>
  <c r="Z9" i="15"/>
  <c r="Z80" i="15" s="1"/>
  <c r="D9" i="15"/>
  <c r="D80" i="15" s="1"/>
  <c r="AU9" i="15"/>
  <c r="AU80" i="15" s="1"/>
  <c r="AI9" i="15"/>
  <c r="AI80" i="15" s="1"/>
  <c r="F9" i="15"/>
  <c r="F80" i="15" s="1"/>
  <c r="AB9" i="15"/>
  <c r="AB80" i="15" s="1"/>
  <c r="BC9" i="15"/>
  <c r="BC80" i="15" s="1"/>
  <c r="L9" i="15"/>
  <c r="L80" i="15" s="1"/>
  <c r="AC9" i="15"/>
  <c r="AC80" i="15" s="1"/>
  <c r="AJ9" i="15"/>
  <c r="AJ80" i="15" s="1"/>
  <c r="M9" i="15"/>
  <c r="M80" i="15" s="1"/>
  <c r="AW9" i="15"/>
  <c r="AW80" i="15" s="1"/>
  <c r="BD9" i="15"/>
  <c r="BD80" i="15" s="1"/>
  <c r="N9" i="15"/>
  <c r="N80" i="15" s="1"/>
  <c r="AD9" i="15"/>
  <c r="AD80" i="15" s="1"/>
  <c r="AK9" i="15"/>
  <c r="AK80" i="15" s="1"/>
  <c r="W9" i="15"/>
  <c r="W80" i="15" s="1"/>
  <c r="AX9" i="15"/>
  <c r="AX80" i="15" s="1"/>
  <c r="BE9" i="15"/>
  <c r="BE80" i="15" s="1"/>
  <c r="G9" i="15"/>
  <c r="G80" i="15" s="1"/>
  <c r="AE9" i="15"/>
  <c r="AE80" i="15" s="1"/>
  <c r="AL9" i="15"/>
  <c r="AL80" i="15" s="1"/>
  <c r="O9" i="15"/>
  <c r="O80" i="15" s="1"/>
  <c r="AY9" i="15"/>
  <c r="AY80" i="15" s="1"/>
  <c r="BF9" i="15"/>
  <c r="BF80" i="15" s="1"/>
  <c r="P9" i="15"/>
  <c r="P80" i="15" s="1"/>
  <c r="BG9" i="15"/>
  <c r="BG80" i="15" s="1"/>
  <c r="BH9" i="15"/>
  <c r="BH80" i="15" s="1"/>
  <c r="Q9" i="15"/>
  <c r="Q80" i="15" s="1"/>
  <c r="AA9" i="15"/>
  <c r="AA80" i="15" s="1"/>
  <c r="BJ9" i="15"/>
  <c r="BJ80" i="15" s="1"/>
  <c r="R9" i="15"/>
  <c r="R80" i="15" s="1"/>
  <c r="AV9" i="15"/>
  <c r="AV80" i="15" s="1"/>
  <c r="BK9" i="15"/>
  <c r="BK80" i="15" s="1"/>
  <c r="H6" i="15"/>
  <c r="H77" i="15" s="1"/>
  <c r="J6" i="15"/>
  <c r="J77" i="15" s="1"/>
  <c r="F6" i="15"/>
  <c r="F77" i="15" s="1"/>
  <c r="T6" i="15"/>
  <c r="T77" i="15" s="1"/>
  <c r="I6" i="15"/>
  <c r="I77" i="15" s="1"/>
  <c r="G6" i="15"/>
  <c r="G77" i="15" s="1"/>
  <c r="E6" i="15"/>
  <c r="E77" i="15" s="1"/>
  <c r="W6" i="15"/>
  <c r="W77" i="15" s="1"/>
  <c r="U6" i="15"/>
  <c r="U77" i="15" s="1"/>
  <c r="S6" i="15"/>
  <c r="S77" i="15" s="1"/>
  <c r="P6" i="15"/>
  <c r="P77" i="15" s="1"/>
  <c r="O6" i="15"/>
  <c r="O77" i="15" s="1"/>
  <c r="V6" i="15"/>
  <c r="V77" i="15" s="1"/>
  <c r="R6" i="15"/>
  <c r="R77" i="15" s="1"/>
  <c r="Q6" i="15"/>
  <c r="Q77" i="15" s="1"/>
  <c r="N6" i="15"/>
  <c r="N77" i="15" s="1"/>
  <c r="M6" i="15"/>
  <c r="M77" i="15" s="1"/>
  <c r="L6" i="15"/>
  <c r="L77" i="15" s="1"/>
  <c r="K6" i="15"/>
  <c r="K77" i="15" s="1"/>
  <c r="E140" i="18"/>
  <c r="E142" i="18" s="1"/>
  <c r="D142" i="18"/>
  <c r="D142" i="10"/>
  <c r="E142" i="10"/>
  <c r="K15" i="15" l="1"/>
  <c r="D25" i="15"/>
  <c r="D53" i="15" s="1"/>
  <c r="O7" i="15"/>
  <c r="O78" i="15" s="1"/>
  <c r="O81" i="15" s="1"/>
  <c r="O87" i="15" s="1"/>
  <c r="D7" i="15"/>
  <c r="D78" i="15" s="1"/>
  <c r="R7" i="15"/>
  <c r="R78" i="15" s="1"/>
  <c r="R81" i="15" s="1"/>
  <c r="R87" i="15" s="1"/>
  <c r="BI7" i="15"/>
  <c r="BI78" i="15" s="1"/>
  <c r="AU7" i="15"/>
  <c r="AU78" i="15" s="1"/>
  <c r="AF7" i="15"/>
  <c r="AF78" i="15" s="1"/>
  <c r="Q7" i="15"/>
  <c r="Q78" i="15" s="1"/>
  <c r="Q81" i="15" s="1"/>
  <c r="Q87" i="15" s="1"/>
  <c r="W7" i="15"/>
  <c r="W78" i="15" s="1"/>
  <c r="W81" i="15" s="1"/>
  <c r="W87" i="15" s="1"/>
  <c r="Z7" i="15"/>
  <c r="Z78" i="15" s="1"/>
  <c r="V7" i="15"/>
  <c r="V78" i="15" s="1"/>
  <c r="V81" i="15" s="1"/>
  <c r="V87" i="15" s="1"/>
  <c r="J7" i="15"/>
  <c r="J78" i="15" s="1"/>
  <c r="J81" i="15" s="1"/>
  <c r="J87" i="15" s="1"/>
  <c r="AL7" i="15"/>
  <c r="AL78" i="15" s="1"/>
  <c r="AM7" i="15"/>
  <c r="AM78" i="15" s="1"/>
  <c r="P7" i="15"/>
  <c r="P78" i="15" s="1"/>
  <c r="P81" i="15" s="1"/>
  <c r="P87" i="15" s="1"/>
  <c r="AK7" i="15"/>
  <c r="AK78" i="15" s="1"/>
  <c r="AW7" i="15"/>
  <c r="AW78" i="15" s="1"/>
  <c r="AI7" i="15"/>
  <c r="AI78" i="15" s="1"/>
  <c r="U7" i="15"/>
  <c r="U78" i="15" s="1"/>
  <c r="U81" i="15" s="1"/>
  <c r="U87" i="15" s="1"/>
  <c r="X7" i="15"/>
  <c r="X78" i="15" s="1"/>
  <c r="BF7" i="15"/>
  <c r="BF78" i="15" s="1"/>
  <c r="AO7" i="15"/>
  <c r="AO78" i="15" s="1"/>
  <c r="BB7" i="15"/>
  <c r="BB78" i="15" s="1"/>
  <c r="AY7" i="15"/>
  <c r="AY78" i="15" s="1"/>
  <c r="BE7" i="15"/>
  <c r="BE78" i="15" s="1"/>
  <c r="L7" i="15"/>
  <c r="L78" i="15" s="1"/>
  <c r="L81" i="15" s="1"/>
  <c r="L87" i="15" s="1"/>
  <c r="T7" i="15"/>
  <c r="T78" i="15" s="1"/>
  <c r="T81" i="15" s="1"/>
  <c r="T87" i="15" s="1"/>
  <c r="AZ7" i="15"/>
  <c r="AZ78" i="15" s="1"/>
  <c r="K7" i="15"/>
  <c r="K78" i="15" s="1"/>
  <c r="K81" i="15" s="1"/>
  <c r="K87" i="15" s="1"/>
  <c r="BK7" i="15"/>
  <c r="BK78" i="15" s="1"/>
  <c r="AH7" i="15"/>
  <c r="AH78" i="15" s="1"/>
  <c r="BD7" i="15"/>
  <c r="BD78" i="15" s="1"/>
  <c r="I7" i="15"/>
  <c r="I78" i="15" s="1"/>
  <c r="I81" i="15" s="1"/>
  <c r="I87" i="15" s="1"/>
  <c r="BH7" i="15"/>
  <c r="BH78" i="15" s="1"/>
  <c r="AE7" i="15"/>
  <c r="AE78" i="15" s="1"/>
  <c r="N7" i="15"/>
  <c r="N78" i="15" s="1"/>
  <c r="N81" i="15" s="1"/>
  <c r="N87" i="15" s="1"/>
  <c r="AD7" i="15"/>
  <c r="AD78" i="15" s="1"/>
  <c r="AA7" i="15"/>
  <c r="AA78" i="15" s="1"/>
  <c r="AQ7" i="15"/>
  <c r="AQ78" i="15" s="1"/>
  <c r="AX7" i="15"/>
  <c r="AX78" i="15" s="1"/>
  <c r="S7" i="15"/>
  <c r="S78" i="15" s="1"/>
  <c r="S81" i="15" s="1"/>
  <c r="S87" i="15" s="1"/>
  <c r="G7" i="15"/>
  <c r="G78" i="15" s="1"/>
  <c r="G81" i="15" s="1"/>
  <c r="G87" i="15" s="1"/>
  <c r="AJ7" i="15"/>
  <c r="AJ78" i="15" s="1"/>
  <c r="BA7" i="15"/>
  <c r="BA78" i="15" s="1"/>
  <c r="AB7" i="15"/>
  <c r="AB78" i="15" s="1"/>
  <c r="M7" i="15"/>
  <c r="M78" i="15" s="1"/>
  <c r="M81" i="15" s="1"/>
  <c r="M87" i="15" s="1"/>
  <c r="H7" i="15"/>
  <c r="H78" i="15" s="1"/>
  <c r="H81" i="15" s="1"/>
  <c r="H87" i="15" s="1"/>
  <c r="AS7" i="15"/>
  <c r="AS78" i="15" s="1"/>
  <c r="BJ7" i="15"/>
  <c r="BJ78" i="15" s="1"/>
  <c r="AN7" i="15"/>
  <c r="AN78" i="15" s="1"/>
  <c r="F7" i="15"/>
  <c r="F78" i="15" s="1"/>
  <c r="F81" i="15" s="1"/>
  <c r="F87" i="15" s="1"/>
  <c r="AC7" i="15"/>
  <c r="AC78" i="15" s="1"/>
  <c r="AV7" i="15"/>
  <c r="AV78" i="15" s="1"/>
  <c r="AT7" i="15"/>
  <c r="AT78" i="15" s="1"/>
  <c r="AP7" i="15"/>
  <c r="AP78" i="15" s="1"/>
  <c r="AG7" i="15"/>
  <c r="AG78" i="15" s="1"/>
  <c r="AR7" i="15"/>
  <c r="AR78" i="15" s="1"/>
  <c r="BC7" i="15"/>
  <c r="BC78" i="15" s="1"/>
  <c r="E7" i="15"/>
  <c r="E78" i="15" s="1"/>
  <c r="E81" i="15" s="1"/>
  <c r="E87" i="15" s="1"/>
  <c r="BG7" i="15"/>
  <c r="BG78" i="15" s="1"/>
  <c r="L27" i="15"/>
  <c r="L43" i="15" s="1"/>
  <c r="L93" i="15" s="1"/>
  <c r="P15" i="15"/>
  <c r="I27" i="15"/>
  <c r="I43" i="15" s="1"/>
  <c r="I93" i="15" s="1"/>
  <c r="D15" i="15"/>
  <c r="E27" i="15"/>
  <c r="E43" i="15" s="1"/>
  <c r="E93" i="15" s="1"/>
  <c r="M27" i="15"/>
  <c r="M43" i="15" s="1"/>
  <c r="M93" i="15" s="1"/>
  <c r="L15" i="15"/>
  <c r="N27" i="15"/>
  <c r="N43" i="15" s="1"/>
  <c r="N93" i="15" s="1"/>
  <c r="R27" i="15"/>
  <c r="R43" i="15" s="1"/>
  <c r="R93" i="15" s="1"/>
  <c r="T27" i="15"/>
  <c r="T43" i="15" s="1"/>
  <c r="T93" i="15" s="1"/>
  <c r="S27" i="15"/>
  <c r="S43" i="15" s="1"/>
  <c r="S93" i="15" s="1"/>
  <c r="U15" i="15"/>
  <c r="F27" i="15"/>
  <c r="F43" i="15" s="1"/>
  <c r="F93" i="15" s="1"/>
  <c r="AE27" i="15"/>
  <c r="AE43" i="15" s="1"/>
  <c r="AE93" i="15" s="1"/>
  <c r="E15" i="15"/>
  <c r="D27" i="15"/>
  <c r="D43" i="15" s="1"/>
  <c r="D93" i="15" s="1"/>
  <c r="M15" i="15"/>
  <c r="AP27" i="15"/>
  <c r="AP43" i="15" s="1"/>
  <c r="AP93" i="15" s="1"/>
  <c r="H27" i="15"/>
  <c r="H43" i="15" s="1"/>
  <c r="H93" i="15" s="1"/>
  <c r="U27" i="15"/>
  <c r="U43" i="15" s="1"/>
  <c r="U93" i="15" s="1"/>
  <c r="V15" i="15"/>
  <c r="D142" i="16"/>
  <c r="O27" i="15"/>
  <c r="O43" i="15" s="1"/>
  <c r="O93" i="15" s="1"/>
  <c r="P27" i="15"/>
  <c r="P43" i="15" s="1"/>
  <c r="P93" i="15" s="1"/>
  <c r="V27" i="15"/>
  <c r="V43" i="15" s="1"/>
  <c r="V93" i="15" s="1"/>
  <c r="K27" i="15"/>
  <c r="K43" i="15" s="1"/>
  <c r="K93" i="15" s="1"/>
  <c r="W27" i="15"/>
  <c r="W43" i="15" s="1"/>
  <c r="W93" i="15" s="1"/>
  <c r="Q27" i="15"/>
  <c r="Q43" i="15" s="1"/>
  <c r="Q93" i="15" s="1"/>
  <c r="W15" i="15"/>
  <c r="J15" i="15"/>
  <c r="R15" i="15"/>
  <c r="G27" i="15"/>
  <c r="G43" i="15" s="1"/>
  <c r="G93" i="15" s="1"/>
  <c r="I15" i="15"/>
  <c r="G15" i="15"/>
  <c r="H15" i="15"/>
  <c r="N15" i="15"/>
  <c r="Q15" i="15"/>
  <c r="BL12" i="15"/>
  <c r="O15" i="15"/>
  <c r="BL83" i="15"/>
  <c r="S15" i="15"/>
  <c r="T15" i="15"/>
  <c r="F41" i="13"/>
  <c r="F42" i="13"/>
  <c r="E42" i="13"/>
  <c r="E41" i="13"/>
  <c r="D81" i="15"/>
  <c r="D87" i="15" s="1"/>
  <c r="BL86" i="15"/>
  <c r="BL82" i="15"/>
  <c r="M28" i="15"/>
  <c r="M44" i="15" s="1"/>
  <c r="M94" i="15" s="1"/>
  <c r="AZ28" i="15"/>
  <c r="AZ44" i="15" s="1"/>
  <c r="AZ94" i="15" s="1"/>
  <c r="AF27" i="15"/>
  <c r="AF43" i="15" s="1"/>
  <c r="AF93" i="15" s="1"/>
  <c r="AW27" i="15"/>
  <c r="AW43" i="15" s="1"/>
  <c r="AW93" i="15" s="1"/>
  <c r="BA27" i="15"/>
  <c r="BA43" i="15" s="1"/>
  <c r="BA93" i="15" s="1"/>
  <c r="BE27" i="15"/>
  <c r="BE43" i="15" s="1"/>
  <c r="BE93" i="15" s="1"/>
  <c r="BC27" i="15"/>
  <c r="BC43" i="15" s="1"/>
  <c r="BC93" i="15" s="1"/>
  <c r="AC27" i="15"/>
  <c r="AC43" i="15" s="1"/>
  <c r="AC93" i="15" s="1"/>
  <c r="W25" i="15"/>
  <c r="W41" i="15" s="1"/>
  <c r="W91" i="15" s="1"/>
  <c r="U25" i="15"/>
  <c r="U41" i="15" s="1"/>
  <c r="U91" i="15" s="1"/>
  <c r="AS28" i="15"/>
  <c r="AS44" i="15" s="1"/>
  <c r="AS94" i="15" s="1"/>
  <c r="AA27" i="15"/>
  <c r="AA43" i="15" s="1"/>
  <c r="AA93" i="15" s="1"/>
  <c r="AY27" i="15"/>
  <c r="AY43" i="15" s="1"/>
  <c r="AY93" i="15" s="1"/>
  <c r="AG27" i="15"/>
  <c r="AG43" i="15" s="1"/>
  <c r="AG93" i="15" s="1"/>
  <c r="AH27" i="15"/>
  <c r="AH43" i="15" s="1"/>
  <c r="AH93" i="15" s="1"/>
  <c r="AP28" i="15"/>
  <c r="AP44" i="15" s="1"/>
  <c r="AP94" i="15" s="1"/>
  <c r="E25" i="15"/>
  <c r="E41" i="15" s="1"/>
  <c r="E91" i="15" s="1"/>
  <c r="AM28" i="15"/>
  <c r="AM44" i="15" s="1"/>
  <c r="AM94" i="15" s="1"/>
  <c r="AQ27" i="15"/>
  <c r="AQ43" i="15" s="1"/>
  <c r="AQ93" i="15" s="1"/>
  <c r="Y28" i="15"/>
  <c r="Y44" i="15" s="1"/>
  <c r="Y94" i="15" s="1"/>
  <c r="U28" i="15"/>
  <c r="U44" i="15" s="1"/>
  <c r="U94" i="15" s="1"/>
  <c r="AO27" i="15"/>
  <c r="AO43" i="15" s="1"/>
  <c r="AO93" i="15" s="1"/>
  <c r="AJ28" i="15"/>
  <c r="AJ44" i="15" s="1"/>
  <c r="AJ94" i="15" s="1"/>
  <c r="BH28" i="15"/>
  <c r="BH44" i="15" s="1"/>
  <c r="BH94" i="15" s="1"/>
  <c r="F28" i="15"/>
  <c r="F44" i="15" s="1"/>
  <c r="F94" i="15" s="1"/>
  <c r="O28" i="15"/>
  <c r="O44" i="15" s="1"/>
  <c r="O94" i="15" s="1"/>
  <c r="K28" i="15"/>
  <c r="K44" i="15" s="1"/>
  <c r="K94" i="15" s="1"/>
  <c r="AV27" i="15"/>
  <c r="AV43" i="15" s="1"/>
  <c r="AV93" i="15" s="1"/>
  <c r="Y27" i="15"/>
  <c r="Y43" i="15" s="1"/>
  <c r="Y93" i="15" s="1"/>
  <c r="E28" i="15"/>
  <c r="E44" i="15" s="1"/>
  <c r="E94" i="15" s="1"/>
  <c r="G25" i="15"/>
  <c r="G41" i="15" s="1"/>
  <c r="G91" i="15" s="1"/>
  <c r="BG27" i="15"/>
  <c r="BG43" i="15" s="1"/>
  <c r="BG93" i="15" s="1"/>
  <c r="H25" i="15"/>
  <c r="H41" i="15" s="1"/>
  <c r="H91" i="15" s="1"/>
  <c r="AE28" i="15"/>
  <c r="AE44" i="15" s="1"/>
  <c r="AE94" i="15" s="1"/>
  <c r="Z28" i="15"/>
  <c r="Z44" i="15" s="1"/>
  <c r="Z94" i="15" s="1"/>
  <c r="J28" i="15"/>
  <c r="J44" i="15" s="1"/>
  <c r="J94" i="15" s="1"/>
  <c r="AD27" i="15"/>
  <c r="AD43" i="15" s="1"/>
  <c r="AD93" i="15" s="1"/>
  <c r="S25" i="15"/>
  <c r="S41" i="15" s="1"/>
  <c r="S91" i="15" s="1"/>
  <c r="L28" i="15"/>
  <c r="L44" i="15" s="1"/>
  <c r="L94" i="15" s="1"/>
  <c r="BF28" i="15"/>
  <c r="BF44" i="15" s="1"/>
  <c r="BF94" i="15" s="1"/>
  <c r="AT28" i="15"/>
  <c r="AT44" i="15" s="1"/>
  <c r="AT94" i="15" s="1"/>
  <c r="I28" i="15"/>
  <c r="I44" i="15" s="1"/>
  <c r="I94" i="15" s="1"/>
  <c r="AJ27" i="15"/>
  <c r="AJ43" i="15" s="1"/>
  <c r="AJ93" i="15" s="1"/>
  <c r="AU27" i="15"/>
  <c r="AU43" i="15" s="1"/>
  <c r="AU93" i="15" s="1"/>
  <c r="AC28" i="15"/>
  <c r="AC44" i="15" s="1"/>
  <c r="AC94" i="15" s="1"/>
  <c r="AL28" i="15"/>
  <c r="AL44" i="15" s="1"/>
  <c r="AL94" i="15" s="1"/>
  <c r="K25" i="15"/>
  <c r="K41" i="15" s="1"/>
  <c r="K91" i="15" s="1"/>
  <c r="BE28" i="15"/>
  <c r="BE44" i="15" s="1"/>
  <c r="BE94" i="15" s="1"/>
  <c r="V28" i="15"/>
  <c r="V44" i="15" s="1"/>
  <c r="V94" i="15" s="1"/>
  <c r="H28" i="15"/>
  <c r="H44" i="15" s="1"/>
  <c r="H94" i="15" s="1"/>
  <c r="AK27" i="15"/>
  <c r="AK43" i="15" s="1"/>
  <c r="AK93" i="15" s="1"/>
  <c r="Y26" i="15"/>
  <c r="Y42" i="15" s="1"/>
  <c r="Y92" i="15" s="1"/>
  <c r="BI27" i="15"/>
  <c r="BI43" i="15" s="1"/>
  <c r="BI93" i="15" s="1"/>
  <c r="AB28" i="15"/>
  <c r="AB44" i="15" s="1"/>
  <c r="AB94" i="15" s="1"/>
  <c r="AU28" i="15"/>
  <c r="AU44" i="15" s="1"/>
  <c r="AU94" i="15" s="1"/>
  <c r="AX28" i="15"/>
  <c r="AX44" i="15" s="1"/>
  <c r="AX94" i="15" s="1"/>
  <c r="X28" i="15"/>
  <c r="X44" i="15" s="1"/>
  <c r="X94" i="15" s="1"/>
  <c r="AX27" i="15"/>
  <c r="AX43" i="15" s="1"/>
  <c r="AX93" i="15" s="1"/>
  <c r="AL27" i="15"/>
  <c r="AL43" i="15" s="1"/>
  <c r="AL93" i="15" s="1"/>
  <c r="AM27" i="15"/>
  <c r="AM43" i="15" s="1"/>
  <c r="AM93" i="15" s="1"/>
  <c r="BI28" i="15"/>
  <c r="BI44" i="15" s="1"/>
  <c r="BI94" i="15" s="1"/>
  <c r="F25" i="15"/>
  <c r="F41" i="15" s="1"/>
  <c r="F91" i="15" s="1"/>
  <c r="M25" i="15"/>
  <c r="M41" i="15" s="1"/>
  <c r="M91" i="15" s="1"/>
  <c r="W28" i="15"/>
  <c r="W44" i="15" s="1"/>
  <c r="W94" i="15" s="1"/>
  <c r="AR28" i="15"/>
  <c r="AR44" i="15" s="1"/>
  <c r="AR94" i="15" s="1"/>
  <c r="AS27" i="15"/>
  <c r="AS43" i="15" s="1"/>
  <c r="AS93" i="15" s="1"/>
  <c r="AT27" i="15"/>
  <c r="AT43" i="15" s="1"/>
  <c r="AT93" i="15" s="1"/>
  <c r="BH27" i="15"/>
  <c r="BH43" i="15" s="1"/>
  <c r="BH93" i="15" s="1"/>
  <c r="T28" i="15"/>
  <c r="T44" i="15" s="1"/>
  <c r="T94" i="15" s="1"/>
  <c r="BF27" i="15"/>
  <c r="BF43" i="15" s="1"/>
  <c r="BF93" i="15" s="1"/>
  <c r="AK28" i="15"/>
  <c r="AK44" i="15" s="1"/>
  <c r="AK94" i="15" s="1"/>
  <c r="BB28" i="15"/>
  <c r="BB44" i="15" s="1"/>
  <c r="BB94" i="15" s="1"/>
  <c r="BK27" i="15"/>
  <c r="BK43" i="15" s="1"/>
  <c r="BK93" i="15" s="1"/>
  <c r="AB27" i="15"/>
  <c r="AB43" i="15" s="1"/>
  <c r="AB93" i="15" s="1"/>
  <c r="Q28" i="15"/>
  <c r="Q44" i="15" s="1"/>
  <c r="Q94" i="15" s="1"/>
  <c r="BG28" i="15"/>
  <c r="BG44" i="15" s="1"/>
  <c r="BG94" i="15" s="1"/>
  <c r="AI28" i="15"/>
  <c r="AI44" i="15" s="1"/>
  <c r="AI94" i="15" s="1"/>
  <c r="AD28" i="15"/>
  <c r="AD44" i="15" s="1"/>
  <c r="AD94" i="15" s="1"/>
  <c r="AO28" i="15"/>
  <c r="AO44" i="15" s="1"/>
  <c r="AO94" i="15" s="1"/>
  <c r="AN28" i="15"/>
  <c r="AN44" i="15" s="1"/>
  <c r="AN94" i="15" s="1"/>
  <c r="X27" i="15"/>
  <c r="X43" i="15" s="1"/>
  <c r="X93" i="15" s="1"/>
  <c r="AF28" i="15"/>
  <c r="AF44" i="15" s="1"/>
  <c r="AF94" i="15" s="1"/>
  <c r="BC28" i="15"/>
  <c r="BC44" i="15" s="1"/>
  <c r="BC94" i="15" s="1"/>
  <c r="AR27" i="15"/>
  <c r="AR43" i="15" s="1"/>
  <c r="AR93" i="15" s="1"/>
  <c r="R25" i="15"/>
  <c r="BK28" i="15"/>
  <c r="BK44" i="15" s="1"/>
  <c r="BK94" i="15" s="1"/>
  <c r="N28" i="15"/>
  <c r="N44" i="15" s="1"/>
  <c r="N94" i="15" s="1"/>
  <c r="AH28" i="15"/>
  <c r="AH44" i="15" s="1"/>
  <c r="AH94" i="15" s="1"/>
  <c r="AN27" i="15"/>
  <c r="AN43" i="15" s="1"/>
  <c r="AN93" i="15" s="1"/>
  <c r="Z27" i="15"/>
  <c r="Z43" i="15" s="1"/>
  <c r="Z93" i="15" s="1"/>
  <c r="BJ27" i="15"/>
  <c r="BJ43" i="15" s="1"/>
  <c r="BJ93" i="15" s="1"/>
  <c r="AA28" i="15"/>
  <c r="AA44" i="15" s="1"/>
  <c r="AA94" i="15" s="1"/>
  <c r="AQ28" i="15"/>
  <c r="AQ44" i="15" s="1"/>
  <c r="AQ94" i="15" s="1"/>
  <c r="P28" i="15"/>
  <c r="P44" i="15" s="1"/>
  <c r="P94" i="15" s="1"/>
  <c r="AY28" i="15"/>
  <c r="AY44" i="15" s="1"/>
  <c r="AY94" i="15" s="1"/>
  <c r="G28" i="15"/>
  <c r="G44" i="15" s="1"/>
  <c r="G94" i="15" s="1"/>
  <c r="V25" i="15"/>
  <c r="V41" i="15" s="1"/>
  <c r="V91" i="15" s="1"/>
  <c r="AV28" i="15"/>
  <c r="AV44" i="15" s="1"/>
  <c r="AV94" i="15" s="1"/>
  <c r="BD28" i="15"/>
  <c r="BD44" i="15" s="1"/>
  <c r="BD94" i="15" s="1"/>
  <c r="BA28" i="15"/>
  <c r="BA44" i="15" s="1"/>
  <c r="BA94" i="15" s="1"/>
  <c r="BD27" i="15"/>
  <c r="BD43" i="15" s="1"/>
  <c r="BD93" i="15" s="1"/>
  <c r="AZ27" i="15"/>
  <c r="AZ43" i="15" s="1"/>
  <c r="AZ93" i="15" s="1"/>
  <c r="AI27" i="15"/>
  <c r="AI43" i="15" s="1"/>
  <c r="AI93" i="15" s="1"/>
  <c r="BJ28" i="15"/>
  <c r="BJ44" i="15" s="1"/>
  <c r="BJ94" i="15" s="1"/>
  <c r="I25" i="15"/>
  <c r="I41" i="15" s="1"/>
  <c r="I91" i="15" s="1"/>
  <c r="T25" i="15"/>
  <c r="O25" i="15"/>
  <c r="O41" i="15" s="1"/>
  <c r="O91" i="15" s="1"/>
  <c r="R28" i="15"/>
  <c r="R44" i="15" s="1"/>
  <c r="R94" i="15" s="1"/>
  <c r="AW28" i="15"/>
  <c r="AW44" i="15" s="1"/>
  <c r="AW94" i="15" s="1"/>
  <c r="AG28" i="15"/>
  <c r="AG44" i="15" s="1"/>
  <c r="AG94" i="15" s="1"/>
  <c r="S28" i="15"/>
  <c r="S44" i="15" s="1"/>
  <c r="S94" i="15" s="1"/>
  <c r="BB27" i="15"/>
  <c r="BB43" i="15" s="1"/>
  <c r="BB93" i="15" s="1"/>
  <c r="D28" i="15"/>
  <c r="D44" i="15" s="1"/>
  <c r="D94" i="15" s="1"/>
  <c r="J25" i="15"/>
  <c r="J41" i="15" s="1"/>
  <c r="J91" i="15" s="1"/>
  <c r="L25" i="15"/>
  <c r="L41" i="15" s="1"/>
  <c r="L91" i="15" s="1"/>
  <c r="N25" i="15"/>
  <c r="Q25" i="15"/>
  <c r="Q41" i="15" s="1"/>
  <c r="Q91" i="15" s="1"/>
  <c r="P25" i="15"/>
  <c r="BL8" i="15"/>
  <c r="BL9" i="15"/>
  <c r="BL80" i="15" s="1"/>
  <c r="AX6" i="15"/>
  <c r="AX77" i="15" s="1"/>
  <c r="AT6" i="15"/>
  <c r="AT77" i="15" s="1"/>
  <c r="AI6" i="15"/>
  <c r="AI77" i="15" s="1"/>
  <c r="AA6" i="15"/>
  <c r="AA77" i="15" s="1"/>
  <c r="AO6" i="15"/>
  <c r="AO77" i="15" s="1"/>
  <c r="AU6" i="15"/>
  <c r="AU77" i="15" s="1"/>
  <c r="AQ6" i="15"/>
  <c r="AQ77" i="15" s="1"/>
  <c r="AB6" i="15"/>
  <c r="AB77" i="15" s="1"/>
  <c r="AS6" i="15"/>
  <c r="AS77" i="15" s="1"/>
  <c r="AV6" i="15"/>
  <c r="AV77" i="15" s="1"/>
  <c r="AJ6" i="15"/>
  <c r="AJ77" i="15" s="1"/>
  <c r="AC6" i="15"/>
  <c r="AC77" i="15" s="1"/>
  <c r="BD6" i="15"/>
  <c r="BD77" i="15" s="1"/>
  <c r="AW6" i="15"/>
  <c r="AW77" i="15" s="1"/>
  <c r="AL6" i="15"/>
  <c r="AL77" i="15" s="1"/>
  <c r="AD6" i="15"/>
  <c r="AD77" i="15" s="1"/>
  <c r="BG6" i="15"/>
  <c r="BG77" i="15" s="1"/>
  <c r="X6" i="15"/>
  <c r="X77" i="15" s="1"/>
  <c r="BF6" i="15"/>
  <c r="BF77" i="15" s="1"/>
  <c r="AM6" i="15"/>
  <c r="AM77" i="15" s="1"/>
  <c r="AR6" i="15"/>
  <c r="AR77" i="15" s="1"/>
  <c r="BH6" i="15"/>
  <c r="BH77" i="15" s="1"/>
  <c r="AP6" i="15"/>
  <c r="AP77" i="15" s="1"/>
  <c r="AK6" i="15"/>
  <c r="AK77" i="15" s="1"/>
  <c r="AF6" i="15"/>
  <c r="AF77" i="15" s="1"/>
  <c r="BE6" i="15"/>
  <c r="BE77" i="15" s="1"/>
  <c r="BJ6" i="15"/>
  <c r="BJ77" i="15" s="1"/>
  <c r="AZ6" i="15"/>
  <c r="AZ77" i="15" s="1"/>
  <c r="BC6" i="15"/>
  <c r="BC77" i="15" s="1"/>
  <c r="BI6" i="15"/>
  <c r="BI77" i="15" s="1"/>
  <c r="BK6" i="15"/>
  <c r="BK77" i="15" s="1"/>
  <c r="AG6" i="15"/>
  <c r="AG77" i="15" s="1"/>
  <c r="BA6" i="15"/>
  <c r="BA77" i="15" s="1"/>
  <c r="AH6" i="15"/>
  <c r="AH77" i="15" s="1"/>
  <c r="AN6" i="15"/>
  <c r="AN77" i="15" s="1"/>
  <c r="Z6" i="15"/>
  <c r="Z77" i="15" s="1"/>
  <c r="AE6" i="15"/>
  <c r="AE77" i="15" s="1"/>
  <c r="BB6" i="15"/>
  <c r="BB77" i="15" s="1"/>
  <c r="AY6" i="15"/>
  <c r="AY77" i="15" s="1"/>
  <c r="Y6" i="15"/>
  <c r="Y77" i="15" s="1"/>
  <c r="D41" i="15"/>
  <c r="D91" i="15" s="1"/>
  <c r="K10" i="15" l="1"/>
  <c r="W26" i="15"/>
  <c r="W42" i="15" s="1"/>
  <c r="W92" i="15" s="1"/>
  <c r="W95" i="15" s="1"/>
  <c r="D26" i="15"/>
  <c r="D42" i="15" s="1"/>
  <c r="D92" i="15" s="1"/>
  <c r="O26" i="15"/>
  <c r="O42" i="15" s="1"/>
  <c r="O92" i="15" s="1"/>
  <c r="O10" i="15"/>
  <c r="T10" i="15"/>
  <c r="D10" i="15"/>
  <c r="I10" i="15"/>
  <c r="AL26" i="15"/>
  <c r="AL42" i="15" s="1"/>
  <c r="AL92" i="15" s="1"/>
  <c r="P10" i="15"/>
  <c r="P26" i="15"/>
  <c r="P42" i="15" s="1"/>
  <c r="P92" i="15" s="1"/>
  <c r="AM26" i="15"/>
  <c r="AM42" i="15" s="1"/>
  <c r="AM92" i="15" s="1"/>
  <c r="J10" i="15"/>
  <c r="J26" i="15"/>
  <c r="J42" i="15" s="1"/>
  <c r="J92" i="15" s="1"/>
  <c r="J95" i="15" s="1"/>
  <c r="W10" i="15"/>
  <c r="V26" i="15"/>
  <c r="V42" i="15" s="1"/>
  <c r="V92" i="15" s="1"/>
  <c r="V95" i="15" s="1"/>
  <c r="F10" i="15"/>
  <c r="V10" i="15"/>
  <c r="T26" i="15"/>
  <c r="T42" i="15" s="1"/>
  <c r="T92" i="15" s="1"/>
  <c r="AF26" i="15"/>
  <c r="AF42" i="15" s="1"/>
  <c r="AF92" i="15" s="1"/>
  <c r="H26" i="15"/>
  <c r="H42" i="15" s="1"/>
  <c r="H92" i="15" s="1"/>
  <c r="H95" i="15" s="1"/>
  <c r="H10" i="15"/>
  <c r="Z26" i="15"/>
  <c r="Z42" i="15" s="1"/>
  <c r="Z92" i="15" s="1"/>
  <c r="R26" i="15"/>
  <c r="R42" i="15" s="1"/>
  <c r="R92" i="15" s="1"/>
  <c r="N10" i="15"/>
  <c r="R10" i="15"/>
  <c r="BI26" i="15"/>
  <c r="BI42" i="15" s="1"/>
  <c r="BI92" i="15" s="1"/>
  <c r="AW26" i="15"/>
  <c r="AW42" i="15" s="1"/>
  <c r="AW92" i="15" s="1"/>
  <c r="X26" i="15"/>
  <c r="X42" i="15" s="1"/>
  <c r="X92" i="15" s="1"/>
  <c r="S10" i="15"/>
  <c r="BF26" i="15"/>
  <c r="BF42" i="15" s="1"/>
  <c r="BF92" i="15" s="1"/>
  <c r="U26" i="15"/>
  <c r="U42" i="15" s="1"/>
  <c r="U92" i="15" s="1"/>
  <c r="U95" i="15" s="1"/>
  <c r="BB26" i="15"/>
  <c r="BB42" i="15" s="1"/>
  <c r="BB92" i="15" s="1"/>
  <c r="G26" i="15"/>
  <c r="G42" i="15" s="1"/>
  <c r="G92" i="15" s="1"/>
  <c r="G95" i="15" s="1"/>
  <c r="AK26" i="15"/>
  <c r="AK42" i="15" s="1"/>
  <c r="AK92" i="15" s="1"/>
  <c r="M10" i="15"/>
  <c r="AQ26" i="15"/>
  <c r="AQ42" i="15" s="1"/>
  <c r="AQ92" i="15" s="1"/>
  <c r="E10" i="15"/>
  <c r="U10" i="15"/>
  <c r="AU26" i="15"/>
  <c r="AU42" i="15" s="1"/>
  <c r="AU92" i="15" s="1"/>
  <c r="L26" i="15"/>
  <c r="L42" i="15" s="1"/>
  <c r="L92" i="15" s="1"/>
  <c r="L95" i="15" s="1"/>
  <c r="M26" i="15"/>
  <c r="M42" i="15" s="1"/>
  <c r="M92" i="15" s="1"/>
  <c r="M95" i="15" s="1"/>
  <c r="L10" i="15"/>
  <c r="E26" i="15"/>
  <c r="E42" i="15" s="1"/>
  <c r="E92" i="15" s="1"/>
  <c r="E95" i="15" s="1"/>
  <c r="Q10" i="15"/>
  <c r="AY26" i="15"/>
  <c r="AY42" i="15" s="1"/>
  <c r="AY92" i="15" s="1"/>
  <c r="BG26" i="15"/>
  <c r="BG42" i="15" s="1"/>
  <c r="BG92" i="15" s="1"/>
  <c r="AO26" i="15"/>
  <c r="AO42" i="15" s="1"/>
  <c r="AO92" i="15" s="1"/>
  <c r="Q26" i="15"/>
  <c r="Q42" i="15" s="1"/>
  <c r="Q92" i="15" s="1"/>
  <c r="Q95" i="15" s="1"/>
  <c r="BE26" i="15"/>
  <c r="BE42" i="15" s="1"/>
  <c r="BE92" i="15" s="1"/>
  <c r="G10" i="15"/>
  <c r="AZ26" i="15"/>
  <c r="AZ42" i="15" s="1"/>
  <c r="AZ92" i="15" s="1"/>
  <c r="AB26" i="15"/>
  <c r="AB42" i="15" s="1"/>
  <c r="AB92" i="15" s="1"/>
  <c r="BA26" i="15"/>
  <c r="BA42" i="15" s="1"/>
  <c r="BA92" i="15" s="1"/>
  <c r="AJ26" i="15"/>
  <c r="AJ42" i="15" s="1"/>
  <c r="AJ92" i="15" s="1"/>
  <c r="S26" i="15"/>
  <c r="S42" i="15" s="1"/>
  <c r="S92" i="15" s="1"/>
  <c r="S95" i="15" s="1"/>
  <c r="AX26" i="15"/>
  <c r="AX42" i="15" s="1"/>
  <c r="AX92" i="15" s="1"/>
  <c r="AN26" i="15"/>
  <c r="AN42" i="15" s="1"/>
  <c r="AN92" i="15" s="1"/>
  <c r="BJ26" i="15"/>
  <c r="BJ42" i="15" s="1"/>
  <c r="BJ92" i="15" s="1"/>
  <c r="BK26" i="15"/>
  <c r="BK42" i="15" s="1"/>
  <c r="BK92" i="15" s="1"/>
  <c r="AS26" i="15"/>
  <c r="AS42" i="15" s="1"/>
  <c r="AS92" i="15" s="1"/>
  <c r="AA26" i="15"/>
  <c r="AA42" i="15" s="1"/>
  <c r="AA92" i="15" s="1"/>
  <c r="AI26" i="15"/>
  <c r="AI42" i="15" s="1"/>
  <c r="AI92" i="15" s="1"/>
  <c r="BC26" i="15"/>
  <c r="BC42" i="15" s="1"/>
  <c r="BC92" i="15" s="1"/>
  <c r="AD26" i="15"/>
  <c r="AD42" i="15" s="1"/>
  <c r="AD92" i="15" s="1"/>
  <c r="N26" i="15"/>
  <c r="N42" i="15" s="1"/>
  <c r="N92" i="15" s="1"/>
  <c r="AE26" i="15"/>
  <c r="AE42" i="15" s="1"/>
  <c r="AE92" i="15" s="1"/>
  <c r="AG26" i="15"/>
  <c r="AG42" i="15" s="1"/>
  <c r="AG92" i="15" s="1"/>
  <c r="AT26" i="15"/>
  <c r="AT42" i="15" s="1"/>
  <c r="AT92" i="15" s="1"/>
  <c r="BH26" i="15"/>
  <c r="BH42" i="15" s="1"/>
  <c r="BH92" i="15" s="1"/>
  <c r="AP26" i="15"/>
  <c r="AP42" i="15" s="1"/>
  <c r="AP92" i="15" s="1"/>
  <c r="AV26" i="15"/>
  <c r="AV42" i="15" s="1"/>
  <c r="AV92" i="15" s="1"/>
  <c r="I26" i="15"/>
  <c r="I42" i="15" s="1"/>
  <c r="I92" i="15" s="1"/>
  <c r="I95" i="15" s="1"/>
  <c r="BD26" i="15"/>
  <c r="BD42" i="15" s="1"/>
  <c r="BD92" i="15" s="1"/>
  <c r="AC26" i="15"/>
  <c r="AC42" i="15" s="1"/>
  <c r="AC92" i="15" s="1"/>
  <c r="BL7" i="15"/>
  <c r="AR26" i="15"/>
  <c r="AR42" i="15" s="1"/>
  <c r="AR92" i="15" s="1"/>
  <c r="E40" i="13"/>
  <c r="F40" i="13"/>
  <c r="AH26" i="15"/>
  <c r="AH42" i="15" s="1"/>
  <c r="AH92" i="15" s="1"/>
  <c r="K26" i="15"/>
  <c r="K42" i="15" s="1"/>
  <c r="K92" i="15" s="1"/>
  <c r="K95" i="15" s="1"/>
  <c r="F26" i="15"/>
  <c r="F42" i="15" s="1"/>
  <c r="F92" i="15" s="1"/>
  <c r="F95" i="15" s="1"/>
  <c r="D55" i="15"/>
  <c r="E55" i="15" s="1"/>
  <c r="F55" i="15" s="1"/>
  <c r="G55" i="15" s="1"/>
  <c r="H55" i="15" s="1"/>
  <c r="I55" i="15" s="1"/>
  <c r="J55" i="15" s="1"/>
  <c r="K55" i="15" s="1"/>
  <c r="L55" i="15" s="1"/>
  <c r="M55" i="15" s="1"/>
  <c r="N55" i="15" s="1"/>
  <c r="O55" i="15" s="1"/>
  <c r="P55" i="15" s="1"/>
  <c r="Q55" i="15" s="1"/>
  <c r="R55" i="15" s="1"/>
  <c r="S55" i="15" s="1"/>
  <c r="T55" i="15" s="1"/>
  <c r="U55" i="15" s="1"/>
  <c r="V55" i="15" s="1"/>
  <c r="W55" i="15" s="1"/>
  <c r="X55" i="15" s="1"/>
  <c r="Y55" i="15" s="1"/>
  <c r="Z55" i="15" s="1"/>
  <c r="AA55" i="15" s="1"/>
  <c r="AB55" i="15" s="1"/>
  <c r="AC55" i="15" s="1"/>
  <c r="AD55" i="15" s="1"/>
  <c r="AE55" i="15" s="1"/>
  <c r="AF55" i="15" s="1"/>
  <c r="AG55" i="15" s="1"/>
  <c r="AH55" i="15" s="1"/>
  <c r="AI55" i="15" s="1"/>
  <c r="AJ55" i="15" s="1"/>
  <c r="AK55" i="15" s="1"/>
  <c r="AL55" i="15" s="1"/>
  <c r="AM55" i="15" s="1"/>
  <c r="AN55" i="15" s="1"/>
  <c r="AO55" i="15" s="1"/>
  <c r="AP55" i="15" s="1"/>
  <c r="AQ55" i="15" s="1"/>
  <c r="AR55" i="15" s="1"/>
  <c r="AS55" i="15" s="1"/>
  <c r="AT55" i="15" s="1"/>
  <c r="AU55" i="15" s="1"/>
  <c r="AV55" i="15" s="1"/>
  <c r="AW55" i="15" s="1"/>
  <c r="AX55" i="15" s="1"/>
  <c r="AY55" i="15" s="1"/>
  <c r="AZ55" i="15" s="1"/>
  <c r="BA55" i="15" s="1"/>
  <c r="BB55" i="15" s="1"/>
  <c r="BC55" i="15" s="1"/>
  <c r="BD55" i="15" s="1"/>
  <c r="BE55" i="15" s="1"/>
  <c r="BF55" i="15" s="1"/>
  <c r="BG55" i="15" s="1"/>
  <c r="BH55" i="15" s="1"/>
  <c r="BI55" i="15" s="1"/>
  <c r="BJ55" i="15" s="1"/>
  <c r="BK55" i="15" s="1"/>
  <c r="BL15" i="15"/>
  <c r="F39" i="13"/>
  <c r="E39" i="13"/>
  <c r="AV81" i="15"/>
  <c r="AV87" i="15" s="1"/>
  <c r="BC81" i="15"/>
  <c r="BC87" i="15" s="1"/>
  <c r="AS81" i="15"/>
  <c r="AS87" i="15" s="1"/>
  <c r="AA81" i="15"/>
  <c r="AA87" i="15" s="1"/>
  <c r="AB81" i="15"/>
  <c r="AB87" i="15" s="1"/>
  <c r="BH81" i="15"/>
  <c r="BH87" i="15" s="1"/>
  <c r="AF81" i="15"/>
  <c r="AF87" i="15" s="1"/>
  <c r="AT81" i="15"/>
  <c r="AT87" i="15" s="1"/>
  <c r="AR81" i="15"/>
  <c r="AR87" i="15" s="1"/>
  <c r="AX81" i="15"/>
  <c r="AX87" i="15" s="1"/>
  <c r="BI81" i="15"/>
  <c r="BI87" i="15" s="1"/>
  <c r="AQ81" i="15"/>
  <c r="AQ87" i="15" s="1"/>
  <c r="AY81" i="15"/>
  <c r="AY87" i="15" s="1"/>
  <c r="AZ81" i="15"/>
  <c r="AZ87" i="15" s="1"/>
  <c r="BE81" i="15"/>
  <c r="BE87" i="15" s="1"/>
  <c r="AI81" i="15"/>
  <c r="AI87" i="15" s="1"/>
  <c r="BB81" i="15"/>
  <c r="BB87" i="15" s="1"/>
  <c r="BL77" i="15"/>
  <c r="AK81" i="15"/>
  <c r="AK87" i="15" s="1"/>
  <c r="BG81" i="15"/>
  <c r="BG87" i="15" s="1"/>
  <c r="BJ81" i="15"/>
  <c r="BJ87" i="15" s="1"/>
  <c r="AO81" i="15"/>
  <c r="AO87" i="15" s="1"/>
  <c r="BF81" i="15"/>
  <c r="BF87" i="15" s="1"/>
  <c r="Z81" i="15"/>
  <c r="Z87" i="15" s="1"/>
  <c r="AD81" i="15"/>
  <c r="AD87" i="15" s="1"/>
  <c r="AL81" i="15"/>
  <c r="AL87" i="15" s="1"/>
  <c r="AU81" i="15"/>
  <c r="AU87" i="15" s="1"/>
  <c r="AP81" i="15"/>
  <c r="AP87" i="15" s="1"/>
  <c r="AM81" i="15"/>
  <c r="AM87" i="15" s="1"/>
  <c r="AE81" i="15"/>
  <c r="AE87" i="15" s="1"/>
  <c r="AH81" i="15"/>
  <c r="AH87" i="15" s="1"/>
  <c r="AW81" i="15"/>
  <c r="AW87" i="15" s="1"/>
  <c r="AN81" i="15"/>
  <c r="AN87" i="15" s="1"/>
  <c r="BA81" i="15"/>
  <c r="BA87" i="15" s="1"/>
  <c r="BD81" i="15"/>
  <c r="BD87" i="15" s="1"/>
  <c r="Y81" i="15"/>
  <c r="Y87" i="15" s="1"/>
  <c r="AC81" i="15"/>
  <c r="AC87" i="15" s="1"/>
  <c r="AG81" i="15"/>
  <c r="AG87" i="15" s="1"/>
  <c r="BK81" i="15"/>
  <c r="BK87" i="15" s="1"/>
  <c r="AJ81" i="15"/>
  <c r="AJ87" i="15" s="1"/>
  <c r="O95" i="15"/>
  <c r="D56" i="15"/>
  <c r="E56" i="15" s="1"/>
  <c r="F56" i="15" s="1"/>
  <c r="G56" i="15" s="1"/>
  <c r="H56" i="15" s="1"/>
  <c r="I56" i="15" s="1"/>
  <c r="J56" i="15" s="1"/>
  <c r="K56" i="15" s="1"/>
  <c r="L56" i="15" s="1"/>
  <c r="M56" i="15" s="1"/>
  <c r="N56" i="15" s="1"/>
  <c r="O56" i="15" s="1"/>
  <c r="P56" i="15" s="1"/>
  <c r="Q56" i="15" s="1"/>
  <c r="R56" i="15" s="1"/>
  <c r="S56" i="15" s="1"/>
  <c r="T56" i="15" s="1"/>
  <c r="U56" i="15" s="1"/>
  <c r="V56" i="15" s="1"/>
  <c r="W56" i="15" s="1"/>
  <c r="X56" i="15" s="1"/>
  <c r="Y56" i="15" s="1"/>
  <c r="Z56" i="15" s="1"/>
  <c r="AA56" i="15" s="1"/>
  <c r="AB56" i="15" s="1"/>
  <c r="AC56" i="15" s="1"/>
  <c r="AD56" i="15" s="1"/>
  <c r="AE56" i="15" s="1"/>
  <c r="AF56" i="15" s="1"/>
  <c r="AG56" i="15" s="1"/>
  <c r="AH56" i="15" s="1"/>
  <c r="AI56" i="15" s="1"/>
  <c r="AJ56" i="15" s="1"/>
  <c r="AK56" i="15" s="1"/>
  <c r="AL56" i="15" s="1"/>
  <c r="AM56" i="15" s="1"/>
  <c r="AN56" i="15" s="1"/>
  <c r="AO56" i="15" s="1"/>
  <c r="AP56" i="15" s="1"/>
  <c r="AQ56" i="15" s="1"/>
  <c r="AR56" i="15" s="1"/>
  <c r="AS56" i="15" s="1"/>
  <c r="AT56" i="15" s="1"/>
  <c r="AU56" i="15" s="1"/>
  <c r="AV56" i="15" s="1"/>
  <c r="AW56" i="15" s="1"/>
  <c r="AX56" i="15" s="1"/>
  <c r="AY56" i="15" s="1"/>
  <c r="AZ56" i="15" s="1"/>
  <c r="BA56" i="15" s="1"/>
  <c r="BB56" i="15" s="1"/>
  <c r="BC56" i="15" s="1"/>
  <c r="BD56" i="15" s="1"/>
  <c r="BE56" i="15" s="1"/>
  <c r="BF56" i="15" s="1"/>
  <c r="BG56" i="15" s="1"/>
  <c r="BH56" i="15" s="1"/>
  <c r="BI56" i="15" s="1"/>
  <c r="BJ56" i="15" s="1"/>
  <c r="BK56" i="15" s="1"/>
  <c r="T41" i="15"/>
  <c r="P29" i="15"/>
  <c r="P45" i="15" s="1"/>
  <c r="O29" i="15"/>
  <c r="O45" i="15" s="1"/>
  <c r="BL79" i="15"/>
  <c r="BL78" i="15"/>
  <c r="BL93" i="15"/>
  <c r="G41" i="13" s="1"/>
  <c r="BL94" i="15"/>
  <c r="G42" i="13" s="1"/>
  <c r="D29" i="15"/>
  <c r="D45" i="15" s="1"/>
  <c r="D54" i="15"/>
  <c r="R41" i="15"/>
  <c r="R91" i="15" s="1"/>
  <c r="BL43" i="15"/>
  <c r="BL27" i="15"/>
  <c r="N41" i="15"/>
  <c r="N91" i="15" s="1"/>
  <c r="BL28" i="15"/>
  <c r="P41" i="15"/>
  <c r="P91" i="15" s="1"/>
  <c r="BI10" i="15"/>
  <c r="BI25" i="15"/>
  <c r="BI41" i="15" s="1"/>
  <c r="AB10" i="15"/>
  <c r="AB25" i="15"/>
  <c r="AQ10" i="15"/>
  <c r="AQ25" i="15"/>
  <c r="AQ41" i="15" s="1"/>
  <c r="AC10" i="15"/>
  <c r="AC25" i="15"/>
  <c r="BE10" i="15"/>
  <c r="BE25" i="15"/>
  <c r="AU10" i="15"/>
  <c r="AU25" i="15"/>
  <c r="AU41" i="15" s="1"/>
  <c r="AJ10" i="15"/>
  <c r="AJ25" i="15"/>
  <c r="AJ41" i="15" s="1"/>
  <c r="AF10" i="15"/>
  <c r="AF25" i="15"/>
  <c r="AF41" i="15" s="1"/>
  <c r="AO10" i="15"/>
  <c r="AO25" i="15"/>
  <c r="AG10" i="15"/>
  <c r="AG25" i="15"/>
  <c r="AG41" i="15" s="1"/>
  <c r="AA10" i="15"/>
  <c r="AA25" i="15"/>
  <c r="AA41" i="15" s="1"/>
  <c r="AI10" i="15"/>
  <c r="AI25" i="15"/>
  <c r="AI41" i="15" s="1"/>
  <c r="BH10" i="15"/>
  <c r="BH25" i="15"/>
  <c r="AT10" i="15"/>
  <c r="AT25" i="15"/>
  <c r="AV10" i="15"/>
  <c r="AV25" i="15"/>
  <c r="AV41" i="15" s="1"/>
  <c r="AK10" i="15"/>
  <c r="AK25" i="15"/>
  <c r="AR10" i="15"/>
  <c r="AR25" i="15"/>
  <c r="AX10" i="15"/>
  <c r="AX25" i="15"/>
  <c r="AX41" i="15" s="1"/>
  <c r="AS10" i="15"/>
  <c r="AS25" i="15"/>
  <c r="Y10" i="15"/>
  <c r="Y25" i="15"/>
  <c r="Y29" i="15" s="1"/>
  <c r="Y45" i="15" s="1"/>
  <c r="AM10" i="15"/>
  <c r="AM25" i="15"/>
  <c r="AM29" i="15" s="1"/>
  <c r="AM45" i="15" s="1"/>
  <c r="BK10" i="15"/>
  <c r="BK25" i="15"/>
  <c r="BJ10" i="15"/>
  <c r="BJ25" i="15"/>
  <c r="BJ41" i="15" s="1"/>
  <c r="AY10" i="15"/>
  <c r="AY25" i="15"/>
  <c r="AY41" i="15" s="1"/>
  <c r="BF10" i="15"/>
  <c r="BF25" i="15"/>
  <c r="BF41" i="15" s="1"/>
  <c r="BB10" i="15"/>
  <c r="BB25" i="15"/>
  <c r="X10" i="15"/>
  <c r="X25" i="15"/>
  <c r="AP10" i="15"/>
  <c r="AP25" i="15"/>
  <c r="AP41" i="15" s="1"/>
  <c r="AE10" i="15"/>
  <c r="AE25" i="15"/>
  <c r="AE41" i="15" s="1"/>
  <c r="BG10" i="15"/>
  <c r="BG25" i="15"/>
  <c r="BG41" i="15" s="1"/>
  <c r="AZ10" i="15"/>
  <c r="AZ25" i="15"/>
  <c r="AZ41" i="15" s="1"/>
  <c r="Z10" i="15"/>
  <c r="Z25" i="15"/>
  <c r="Z41" i="15" s="1"/>
  <c r="AD10" i="15"/>
  <c r="AD25" i="15"/>
  <c r="AN10" i="15"/>
  <c r="AN25" i="15"/>
  <c r="AL10" i="15"/>
  <c r="AL25" i="15"/>
  <c r="AL41" i="15" s="1"/>
  <c r="AH10" i="15"/>
  <c r="AH25" i="15"/>
  <c r="AH41" i="15" s="1"/>
  <c r="AW10" i="15"/>
  <c r="AW25" i="15"/>
  <c r="AW41" i="15" s="1"/>
  <c r="BC10" i="15"/>
  <c r="BC25" i="15"/>
  <c r="BC41" i="15" s="1"/>
  <c r="BA10" i="15"/>
  <c r="BA25" i="15"/>
  <c r="BD10" i="15"/>
  <c r="BD25" i="15"/>
  <c r="BD41" i="15" s="1"/>
  <c r="BL6" i="15"/>
  <c r="BL44" i="15"/>
  <c r="E53" i="15"/>
  <c r="F53" i="15" s="1"/>
  <c r="G53" i="15" s="1"/>
  <c r="H53" i="15" s="1"/>
  <c r="I53" i="15" s="1"/>
  <c r="W29" i="15" l="1"/>
  <c r="W45" i="15" s="1"/>
  <c r="J29" i="15"/>
  <c r="J45" i="15" s="1"/>
  <c r="H29" i="15"/>
  <c r="H45" i="15" s="1"/>
  <c r="X29" i="15"/>
  <c r="X45" i="15" s="1"/>
  <c r="T29" i="15"/>
  <c r="T45" i="15" s="1"/>
  <c r="V29" i="15"/>
  <c r="V45" i="15" s="1"/>
  <c r="BB29" i="15"/>
  <c r="BB45" i="15" s="1"/>
  <c r="G29" i="15"/>
  <c r="G45" i="15" s="1"/>
  <c r="BH29" i="15"/>
  <c r="BH45" i="15" s="1"/>
  <c r="S29" i="15"/>
  <c r="S45" i="15" s="1"/>
  <c r="AB29" i="15"/>
  <c r="AB45" i="15" s="1"/>
  <c r="U29" i="15"/>
  <c r="U45" i="15" s="1"/>
  <c r="AK29" i="15"/>
  <c r="AK45" i="15" s="1"/>
  <c r="R29" i="15"/>
  <c r="R45" i="15" s="1"/>
  <c r="L29" i="15"/>
  <c r="L45" i="15" s="1"/>
  <c r="E54" i="15"/>
  <c r="F54" i="15" s="1"/>
  <c r="G54" i="15" s="1"/>
  <c r="H54" i="15" s="1"/>
  <c r="M29" i="15"/>
  <c r="M45" i="15" s="1"/>
  <c r="AN29" i="15"/>
  <c r="AN45" i="15" s="1"/>
  <c r="E29" i="15"/>
  <c r="E45" i="15" s="1"/>
  <c r="AO29" i="15"/>
  <c r="AO45" i="15" s="1"/>
  <c r="Q29" i="15"/>
  <c r="Q45" i="15" s="1"/>
  <c r="AT29" i="15"/>
  <c r="AT45" i="15" s="1"/>
  <c r="BA29" i="15"/>
  <c r="BA45" i="15" s="1"/>
  <c r="BE29" i="15"/>
  <c r="BE45" i="15" s="1"/>
  <c r="AD29" i="15"/>
  <c r="AD45" i="15" s="1"/>
  <c r="BK29" i="15"/>
  <c r="BK45" i="15" s="1"/>
  <c r="N29" i="15"/>
  <c r="N45" i="15" s="1"/>
  <c r="F29" i="15"/>
  <c r="F45" i="15" s="1"/>
  <c r="I29" i="15"/>
  <c r="I45" i="15" s="1"/>
  <c r="AS29" i="15"/>
  <c r="AS45" i="15" s="1"/>
  <c r="AC29" i="15"/>
  <c r="AC45" i="15" s="1"/>
  <c r="AR29" i="15"/>
  <c r="AR45" i="15" s="1"/>
  <c r="BL92" i="15"/>
  <c r="G40" i="13" s="1"/>
  <c r="K29" i="15"/>
  <c r="K45" i="15" s="1"/>
  <c r="BL42" i="15"/>
  <c r="BL26" i="15"/>
  <c r="F24" i="13" s="1"/>
  <c r="F26" i="13"/>
  <c r="F25" i="13"/>
  <c r="AA91" i="15"/>
  <c r="AA95" i="15" s="1"/>
  <c r="AZ91" i="15"/>
  <c r="AZ95" i="15" s="1"/>
  <c r="Z91" i="15"/>
  <c r="Z95" i="15" s="1"/>
  <c r="BI91" i="15"/>
  <c r="BI95" i="15" s="1"/>
  <c r="T91" i="15"/>
  <c r="T95" i="15" s="1"/>
  <c r="AP91" i="15"/>
  <c r="AP95" i="15" s="1"/>
  <c r="AJ91" i="15"/>
  <c r="AJ95" i="15" s="1"/>
  <c r="AW91" i="15"/>
  <c r="AW95" i="15" s="1"/>
  <c r="BG91" i="15"/>
  <c r="BG95" i="15" s="1"/>
  <c r="AE91" i="15"/>
  <c r="AE95" i="15" s="1"/>
  <c r="AG91" i="15"/>
  <c r="AG95" i="15" s="1"/>
  <c r="AH91" i="15"/>
  <c r="AH95" i="15" s="1"/>
  <c r="AL91" i="15"/>
  <c r="AL95" i="15" s="1"/>
  <c r="AV91" i="15"/>
  <c r="AV95" i="15" s="1"/>
  <c r="AI91" i="15"/>
  <c r="AI95" i="15" s="1"/>
  <c r="AU91" i="15"/>
  <c r="AU95" i="15" s="1"/>
  <c r="BF91" i="15"/>
  <c r="BF95" i="15" s="1"/>
  <c r="BC91" i="15"/>
  <c r="BC95" i="15" s="1"/>
  <c r="BD91" i="15"/>
  <c r="BD95" i="15" s="1"/>
  <c r="AX91" i="15"/>
  <c r="AX95" i="15" s="1"/>
  <c r="AY91" i="15"/>
  <c r="AY95" i="15" s="1"/>
  <c r="AF91" i="15"/>
  <c r="AF95" i="15" s="1"/>
  <c r="BJ91" i="15"/>
  <c r="BJ95" i="15" s="1"/>
  <c r="AQ91" i="15"/>
  <c r="AQ95" i="15" s="1"/>
  <c r="N95" i="15"/>
  <c r="P95" i="15"/>
  <c r="R95" i="15"/>
  <c r="X81" i="15"/>
  <c r="X87" i="15" s="1"/>
  <c r="BL87" i="15" s="1"/>
  <c r="E43" i="13"/>
  <c r="F43" i="13"/>
  <c r="D57" i="15"/>
  <c r="D95" i="15"/>
  <c r="BI29" i="15"/>
  <c r="BI45" i="15" s="1"/>
  <c r="AA29" i="15"/>
  <c r="AA45" i="15" s="1"/>
  <c r="AI29" i="15"/>
  <c r="AI45" i="15" s="1"/>
  <c r="AY29" i="15"/>
  <c r="AY45" i="15" s="1"/>
  <c r="AB41" i="15"/>
  <c r="BH41" i="15"/>
  <c r="Z29" i="15"/>
  <c r="Z45" i="15" s="1"/>
  <c r="AQ29" i="15"/>
  <c r="AQ45" i="15" s="1"/>
  <c r="AN41" i="15"/>
  <c r="AM41" i="15"/>
  <c r="AD41" i="15"/>
  <c r="AS41" i="15"/>
  <c r="BB41" i="15"/>
  <c r="AL29" i="15"/>
  <c r="AL45" i="15" s="1"/>
  <c r="BL10" i="15"/>
  <c r="BJ29" i="15"/>
  <c r="BJ45" i="15" s="1"/>
  <c r="BL25" i="15"/>
  <c r="AF29" i="15"/>
  <c r="AF45" i="15" s="1"/>
  <c r="AX29" i="15"/>
  <c r="AX45" i="15" s="1"/>
  <c r="BC29" i="15"/>
  <c r="BC45" i="15" s="1"/>
  <c r="AW29" i="15"/>
  <c r="AW45" i="15" s="1"/>
  <c r="AJ29" i="15"/>
  <c r="AJ45" i="15" s="1"/>
  <c r="BG29" i="15"/>
  <c r="BG45" i="15" s="1"/>
  <c r="AH29" i="15"/>
  <c r="AH45" i="15" s="1"/>
  <c r="AE29" i="15"/>
  <c r="AE45" i="15" s="1"/>
  <c r="AG29" i="15"/>
  <c r="AG45" i="15" s="1"/>
  <c r="BF29" i="15"/>
  <c r="BF45" i="15" s="1"/>
  <c r="AO41" i="15"/>
  <c r="BD29" i="15"/>
  <c r="BD45" i="15" s="1"/>
  <c r="AR41" i="15"/>
  <c r="Y41" i="15"/>
  <c r="X41" i="15"/>
  <c r="AC41" i="15"/>
  <c r="BA41" i="15"/>
  <c r="AZ29" i="15"/>
  <c r="AZ45" i="15" s="1"/>
  <c r="AP29" i="15"/>
  <c r="AP45" i="15" s="1"/>
  <c r="AV29" i="15"/>
  <c r="AV45" i="15" s="1"/>
  <c r="BE41" i="15"/>
  <c r="AU29" i="15"/>
  <c r="AU45" i="15" s="1"/>
  <c r="AT41" i="15"/>
  <c r="AK41" i="15"/>
  <c r="BK41" i="15"/>
  <c r="J53" i="15"/>
  <c r="E57" i="15" l="1"/>
  <c r="G57" i="15"/>
  <c r="F57" i="15"/>
  <c r="BL81" i="15"/>
  <c r="G24" i="13"/>
  <c r="G25" i="13"/>
  <c r="G26" i="13"/>
  <c r="F23" i="13"/>
  <c r="G23" i="13" s="1"/>
  <c r="AT91" i="15"/>
  <c r="AT95" i="15" s="1"/>
  <c r="BE91" i="15"/>
  <c r="BE95" i="15" s="1"/>
  <c r="BB91" i="15"/>
  <c r="BB95" i="15" s="1"/>
  <c r="AM91" i="15"/>
  <c r="AM95" i="15" s="1"/>
  <c r="AK91" i="15"/>
  <c r="AK95" i="15" s="1"/>
  <c r="Y91" i="15"/>
  <c r="Y95" i="15" s="1"/>
  <c r="AR91" i="15"/>
  <c r="AR95" i="15" s="1"/>
  <c r="X91" i="15"/>
  <c r="X95" i="15" s="1"/>
  <c r="AD91" i="15"/>
  <c r="AD95" i="15" s="1"/>
  <c r="AN91" i="15"/>
  <c r="AN95" i="15" s="1"/>
  <c r="BH91" i="15"/>
  <c r="BH95" i="15" s="1"/>
  <c r="AB91" i="15"/>
  <c r="AB95" i="15" s="1"/>
  <c r="AO91" i="15"/>
  <c r="AO95" i="15" s="1"/>
  <c r="BK91" i="15"/>
  <c r="BK95" i="15" s="1"/>
  <c r="BA91" i="15"/>
  <c r="BA95" i="15" s="1"/>
  <c r="AC91" i="15"/>
  <c r="AC95" i="15" s="1"/>
  <c r="AS91" i="15"/>
  <c r="AS95" i="15" s="1"/>
  <c r="BL45" i="15"/>
  <c r="BM35" i="15" s="1"/>
  <c r="BL41" i="15"/>
  <c r="BL29" i="15"/>
  <c r="I54" i="15"/>
  <c r="H57" i="15"/>
  <c r="K53" i="15"/>
  <c r="F27" i="13" l="1"/>
  <c r="G27" i="13" s="1"/>
  <c r="F35" i="13" s="1"/>
  <c r="BM41" i="15"/>
  <c r="BL95" i="15"/>
  <c r="BM43" i="15"/>
  <c r="BL91" i="15"/>
  <c r="BM29" i="15"/>
  <c r="BM27" i="15"/>
  <c r="BM26" i="15"/>
  <c r="BM42" i="15"/>
  <c r="BM36" i="15"/>
  <c r="BM25" i="15"/>
  <c r="BM45" i="15"/>
  <c r="BM33" i="15"/>
  <c r="BM28" i="15"/>
  <c r="BM34" i="15"/>
  <c r="BM37" i="15"/>
  <c r="BM44" i="15"/>
  <c r="J54" i="15"/>
  <c r="I57" i="15"/>
  <c r="L53" i="15"/>
  <c r="G31" i="13" l="1"/>
  <c r="F34" i="13"/>
  <c r="F32" i="13"/>
  <c r="F33" i="13"/>
  <c r="G39" i="13"/>
  <c r="G43" i="13" s="1"/>
  <c r="F31" i="13"/>
  <c r="G32" i="13"/>
  <c r="G34" i="13"/>
  <c r="G35" i="13"/>
  <c r="E34" i="13"/>
  <c r="G33" i="13"/>
  <c r="C34" i="13"/>
  <c r="D33" i="13"/>
  <c r="E32" i="13"/>
  <c r="E33" i="13"/>
  <c r="D34" i="13"/>
  <c r="C33" i="13"/>
  <c r="E31" i="13"/>
  <c r="D31" i="13"/>
  <c r="C31" i="13"/>
  <c r="D32" i="13"/>
  <c r="C35" i="13"/>
  <c r="D35" i="13"/>
  <c r="C32" i="13"/>
  <c r="E35" i="13"/>
  <c r="K54" i="15"/>
  <c r="J57" i="15"/>
  <c r="M53" i="15"/>
  <c r="L54" i="15" l="1"/>
  <c r="K57" i="15"/>
  <c r="N53" i="15"/>
  <c r="M54" i="15" l="1"/>
  <c r="L57" i="15"/>
  <c r="O53" i="15"/>
  <c r="N54" i="15" l="1"/>
  <c r="M57" i="15"/>
  <c r="P53" i="15"/>
  <c r="O54" i="15" l="1"/>
  <c r="N57" i="15"/>
  <c r="Q53" i="15"/>
  <c r="P54" i="15" l="1"/>
  <c r="O57" i="15"/>
  <c r="R53" i="15"/>
  <c r="Q54" i="15" l="1"/>
  <c r="P57" i="15"/>
  <c r="S53" i="15"/>
  <c r="R54" i="15" l="1"/>
  <c r="Q57" i="15"/>
  <c r="T53" i="15"/>
  <c r="S54" i="15" l="1"/>
  <c r="R57" i="15"/>
  <c r="U53" i="15"/>
  <c r="T54" i="15" l="1"/>
  <c r="S57" i="15"/>
  <c r="V53" i="15"/>
  <c r="U54" i="15" l="1"/>
  <c r="T57" i="15"/>
  <c r="W53" i="15"/>
  <c r="V54" i="15" l="1"/>
  <c r="U57" i="15"/>
  <c r="X53" i="15"/>
  <c r="W54" i="15" l="1"/>
  <c r="V57" i="15"/>
  <c r="Y53" i="15"/>
  <c r="X54" i="15" l="1"/>
  <c r="W57" i="15"/>
  <c r="Z53" i="15"/>
  <c r="Y54" i="15" l="1"/>
  <c r="X57" i="15"/>
  <c r="AA53" i="15"/>
  <c r="Z54" i="15" l="1"/>
  <c r="Y57" i="15"/>
  <c r="AB53" i="15"/>
  <c r="AA54" i="15" l="1"/>
  <c r="Z57" i="15"/>
  <c r="AC53" i="15"/>
  <c r="AB54" i="15" l="1"/>
  <c r="AA57" i="15"/>
  <c r="AD53" i="15"/>
  <c r="AC54" i="15" l="1"/>
  <c r="AB57" i="15"/>
  <c r="AE53" i="15"/>
  <c r="AD54" i="15" l="1"/>
  <c r="AC57" i="15"/>
  <c r="AF53" i="15"/>
  <c r="AE54" i="15" l="1"/>
  <c r="AD57" i="15"/>
  <c r="AG53" i="15"/>
  <c r="AF54" i="15" l="1"/>
  <c r="AE57" i="15"/>
  <c r="AH53" i="15"/>
  <c r="AG54" i="15" l="1"/>
  <c r="AF57" i="15"/>
  <c r="AI53" i="15"/>
  <c r="AH54" i="15" l="1"/>
  <c r="AG57" i="15"/>
  <c r="AJ53" i="15"/>
  <c r="AI54" i="15" l="1"/>
  <c r="AH57" i="15"/>
  <c r="AK53" i="15"/>
  <c r="AJ54" i="15" l="1"/>
  <c r="AI57" i="15"/>
  <c r="AL53" i="15"/>
  <c r="AK54" i="15" l="1"/>
  <c r="AJ57" i="15"/>
  <c r="AM53" i="15"/>
  <c r="AL54" i="15" l="1"/>
  <c r="AK57" i="15"/>
  <c r="AN53" i="15"/>
  <c r="AM54" i="15" l="1"/>
  <c r="AL57" i="15"/>
  <c r="AO53" i="15"/>
  <c r="AN54" i="15" l="1"/>
  <c r="AM57" i="15"/>
  <c r="AP53" i="15"/>
  <c r="AO54" i="15" l="1"/>
  <c r="AN57" i="15"/>
  <c r="AQ53" i="15"/>
  <c r="AP54" i="15" l="1"/>
  <c r="AO57" i="15"/>
  <c r="AR53" i="15"/>
  <c r="AQ54" i="15" l="1"/>
  <c r="AP57" i="15"/>
  <c r="AS53" i="15"/>
  <c r="AR54" i="15" l="1"/>
  <c r="AQ57" i="15"/>
  <c r="AT53" i="15"/>
  <c r="AS54" i="15" l="1"/>
  <c r="AR57" i="15"/>
  <c r="AU53" i="15"/>
  <c r="AT54" i="15" l="1"/>
  <c r="AS57" i="15"/>
  <c r="AV53" i="15"/>
  <c r="AU54" i="15" l="1"/>
  <c r="AT57" i="15"/>
  <c r="AW53" i="15"/>
  <c r="AV54" i="15" l="1"/>
  <c r="AU57" i="15"/>
  <c r="AX53" i="15"/>
  <c r="AW54" i="15" l="1"/>
  <c r="AV57" i="15"/>
  <c r="AY53" i="15"/>
  <c r="AX54" i="15" l="1"/>
  <c r="AW57" i="15"/>
  <c r="AZ53" i="15"/>
  <c r="AY54" i="15" l="1"/>
  <c r="AX57" i="15"/>
  <c r="BA53" i="15"/>
  <c r="AZ54" i="15" l="1"/>
  <c r="AY57" i="15"/>
  <c r="BB53" i="15"/>
  <c r="BA54" i="15" l="1"/>
  <c r="AZ57" i="15"/>
  <c r="BC53" i="15"/>
  <c r="BB54" i="15" l="1"/>
  <c r="BA57" i="15"/>
  <c r="BD53" i="15"/>
  <c r="BC54" i="15" l="1"/>
  <c r="BB57" i="15"/>
  <c r="BE53" i="15"/>
  <c r="BD54" i="15" l="1"/>
  <c r="BC57" i="15"/>
  <c r="BF53" i="15"/>
  <c r="BE54" i="15" l="1"/>
  <c r="BD57" i="15"/>
  <c r="BG53" i="15"/>
  <c r="BF54" i="15" l="1"/>
  <c r="BE57" i="15"/>
  <c r="BH53" i="15"/>
  <c r="BG54" i="15" l="1"/>
  <c r="BF57" i="15"/>
  <c r="BI53" i="15"/>
  <c r="BH54" i="15" l="1"/>
  <c r="BG57" i="15"/>
  <c r="BJ53" i="15"/>
  <c r="BI54" i="15" l="1"/>
  <c r="BH57" i="15"/>
  <c r="BK53" i="15"/>
  <c r="BJ54" i="15" l="1"/>
  <c r="BI57" i="15"/>
  <c r="BK54" i="15" l="1"/>
  <c r="BK57" i="15" s="1"/>
  <c r="BM51" i="15" s="1"/>
  <c r="BJ57" i="15"/>
  <c r="BM53" i="15" l="1"/>
  <c r="BM52" i="15"/>
  <c r="BM57" i="15"/>
  <c r="BM50" i="15"/>
  <c r="BM56" i="15"/>
  <c r="BM49" i="15"/>
  <c r="BM54" i="15"/>
  <c r="BM55" i="15"/>
</calcChain>
</file>

<file path=xl/comments1.xml><?xml version="1.0" encoding="utf-8"?>
<comments xmlns="http://schemas.openxmlformats.org/spreadsheetml/2006/main">
  <authors>
    <author>Dan Lash</author>
  </authors>
  <commentList>
    <comment ref="D218" authorId="0" shapeId="0">
      <text>
        <r>
          <rPr>
            <sz val="9"/>
            <color indexed="81"/>
            <rFont val="Tahoma"/>
            <family val="2"/>
          </rPr>
          <t>This value changed from 800 in 2019 impact assessment</t>
        </r>
      </text>
    </comment>
  </commentList>
</comments>
</file>

<file path=xl/comments2.xml><?xml version="1.0" encoding="utf-8"?>
<comments xmlns="http://schemas.openxmlformats.org/spreadsheetml/2006/main">
  <authors>
    <author>tc={5AB05C08-1CA8-4D43-A798-C64D700DC909}</author>
  </authors>
  <commentList>
    <comment ref="E21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value changed from 240 in 2019 Impact Assessment</t>
        </r>
      </text>
    </comment>
  </commentList>
</comments>
</file>

<file path=xl/comments3.xml><?xml version="1.0" encoding="utf-8"?>
<comments xmlns="http://schemas.openxmlformats.org/spreadsheetml/2006/main">
  <authors>
    <author>tc={6E54F802-8E37-44C9-8DC4-E96F56FD1B9C}</author>
    <author>tc={8EAE50EA-95DE-490C-88D6-3FA05CF59F80}</author>
    <author>tc={CFB72B11-6F7C-4FF1-B865-367DABB79A8C}</author>
  </authors>
  <commentList>
    <comment ref="B22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Monthly heat demand taken as estimate from the logging of a house with a heat pump from: https://trystanlea.org.uk/heatpump2020</t>
        </r>
      </text>
    </comment>
    <comment ref="B23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Monthly heat demand taken as estimate from the logging of a house with a heat pump from: https://trystanlea.org.uk/heatpump2020</t>
        </r>
      </text>
    </comment>
    <comment ref="B241"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Monthly heat demand taken as estimate from the logging of a house with a heat pump from: https://trystanlea.org.uk/heatpump2020</t>
        </r>
      </text>
    </comment>
  </commentList>
</comments>
</file>

<file path=xl/comments4.xml><?xml version="1.0" encoding="utf-8"?>
<comments xmlns="http://schemas.openxmlformats.org/spreadsheetml/2006/main">
  <authors>
    <author>Dan Lash</author>
    <author>tc={9CE3F6FD-CD51-4F2F-AC4D-187387A54B4A}</author>
    <author>tc={BE495C2A-5AFF-40F2-B541-9BF6A3FA59D0}</author>
    <author>tc={8D9D8255-BFD8-41A5-B0AF-A43A06C70263}</author>
  </authors>
  <commentList>
    <comment ref="V10" authorId="0" shapeId="0">
      <text>
        <r>
          <rPr>
            <sz val="9"/>
            <color indexed="81"/>
            <rFont val="Tahoma"/>
            <family val="2"/>
          </rPr>
          <t>Assumesb ay is costed same as main roof - area is so small likely to be academic</t>
        </r>
      </text>
    </comment>
    <comment ref="V13" authorId="0" shapeId="0">
      <text>
        <r>
          <rPr>
            <sz val="9"/>
            <color indexed="81"/>
            <rFont val="Tahoma"/>
            <family val="2"/>
          </rPr>
          <t>Assumes no cost uplift with improved efficiency - unlikely to be true</t>
        </r>
      </text>
    </comment>
    <comment ref="V15" authorId="0" shapeId="0">
      <text>
        <r>
          <rPr>
            <sz val="9"/>
            <color indexed="81"/>
            <rFont val="Tahoma"/>
            <family val="2"/>
          </rPr>
          <t>Assumes no cost as C&amp;B source costings do not have cost uplifts for thermal bridging</t>
        </r>
      </text>
    </comment>
    <comment ref="V16" authorId="0" shapeId="0">
      <text>
        <r>
          <rPr>
            <sz val="9"/>
            <color indexed="81"/>
            <rFont val="Tahoma"/>
            <family val="2"/>
          </rPr>
          <t>Assumes no cost uplift with improved efficiency - unlikely to be true</t>
        </r>
      </text>
    </comment>
    <comment ref="V17" authorId="0" shapeId="0">
      <text>
        <r>
          <rPr>
            <sz val="9"/>
            <color indexed="81"/>
            <rFont val="Tahoma"/>
            <family val="2"/>
          </rPr>
          <t>Assumes no cost uplift with improved efficiency - unlikely to be true</t>
        </r>
      </text>
    </comment>
    <comment ref="V21" authorId="0" shapeId="0">
      <text>
        <r>
          <rPr>
            <sz val="9"/>
            <color indexed="81"/>
            <rFont val="Tahoma"/>
            <family val="2"/>
          </rPr>
          <t>Not used in calculations or analysis for now</t>
        </r>
      </text>
    </comment>
    <comment ref="V22" authorId="0" shapeId="0">
      <text>
        <r>
          <rPr>
            <sz val="9"/>
            <color indexed="81"/>
            <rFont val="Tahoma"/>
            <family val="2"/>
          </rPr>
          <t>Not used in calculations or analysis for now</t>
        </r>
      </text>
    </comment>
    <comment ref="V23" authorId="0" shapeId="0">
      <text>
        <r>
          <rPr>
            <sz val="9"/>
            <color indexed="81"/>
            <rFont val="Tahoma"/>
            <family val="2"/>
          </rPr>
          <t>Not used in calculations or analysis for now</t>
        </r>
      </text>
    </comment>
    <comment ref="B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power = 185 x TFA / efficacy</t>
        </r>
      </text>
    </comment>
    <comment ref="B8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reductions if MVHR present.</t>
        </r>
      </text>
    </comment>
    <comment ref="B8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N being based on the "1/20" conversion rule of thumb for pressure test value.</t>
        </r>
      </text>
    </comment>
  </commentList>
</comments>
</file>

<file path=xl/comments5.xml><?xml version="1.0" encoding="utf-8"?>
<comments xmlns="http://schemas.openxmlformats.org/spreadsheetml/2006/main">
  <authors>
    <author>Dan Lash</author>
    <author>tc={70B2F213-78EF-45C1-994C-7A65029C3327}</author>
    <author>tc={986821C9-FDB8-4BCC-91FD-C43357248632}</author>
    <author>tc={361DB180-CCD0-4569-8FBD-142394C886F8}</author>
  </authors>
  <commentList>
    <comment ref="V10" authorId="0" shapeId="0">
      <text>
        <r>
          <rPr>
            <sz val="9"/>
            <color indexed="81"/>
            <rFont val="Tahoma"/>
            <family val="2"/>
          </rPr>
          <t>Assumesb ay is costed same as main roof - area is so small likely to be academic</t>
        </r>
      </text>
    </comment>
    <comment ref="V13" authorId="0" shapeId="0">
      <text>
        <r>
          <rPr>
            <sz val="9"/>
            <color indexed="81"/>
            <rFont val="Tahoma"/>
            <family val="2"/>
          </rPr>
          <t>Assumes no cost uplift with improved efficiency - unlikely to be true</t>
        </r>
      </text>
    </comment>
    <comment ref="V15" authorId="0" shapeId="0">
      <text>
        <r>
          <rPr>
            <sz val="9"/>
            <color indexed="81"/>
            <rFont val="Tahoma"/>
            <family val="2"/>
          </rPr>
          <t>Assumes no cost as C&amp;B source costings do not have cost uplifts for thermal bridging</t>
        </r>
      </text>
    </comment>
    <comment ref="V16" authorId="0" shapeId="0">
      <text>
        <r>
          <rPr>
            <sz val="9"/>
            <color indexed="81"/>
            <rFont val="Tahoma"/>
            <family val="2"/>
          </rPr>
          <t>Assumes no cost uplift with improved efficiency - unlikely to be true</t>
        </r>
      </text>
    </comment>
    <comment ref="V17" authorId="0" shapeId="0">
      <text>
        <r>
          <rPr>
            <sz val="9"/>
            <color indexed="81"/>
            <rFont val="Tahoma"/>
            <family val="2"/>
          </rPr>
          <t>Assumes no cost uplift with improved efficiency - unlikely to be true</t>
        </r>
      </text>
    </comment>
    <comment ref="V21" authorId="0" shapeId="0">
      <text>
        <r>
          <rPr>
            <sz val="9"/>
            <color indexed="81"/>
            <rFont val="Tahoma"/>
            <family val="2"/>
          </rPr>
          <t>Not used in calculations or analysis for now</t>
        </r>
      </text>
    </comment>
    <comment ref="V22" authorId="0" shapeId="0">
      <text>
        <r>
          <rPr>
            <sz val="9"/>
            <color indexed="81"/>
            <rFont val="Tahoma"/>
            <family val="2"/>
          </rPr>
          <t>Not used in calculations or analysis for now</t>
        </r>
      </text>
    </comment>
    <comment ref="V23" authorId="0" shapeId="0">
      <text>
        <r>
          <rPr>
            <sz val="9"/>
            <color indexed="81"/>
            <rFont val="Tahoma"/>
            <family val="2"/>
          </rPr>
          <t>Not used in calculations or analysis for now</t>
        </r>
      </text>
    </comment>
    <comment ref="B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power = 185 x TFA / efficacy</t>
        </r>
      </text>
    </comment>
    <comment ref="B8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reductions if MVHR present.</t>
        </r>
      </text>
    </comment>
    <comment ref="B8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N being based on the "1/20" conversion rule of thumb for pressure test value.</t>
        </r>
      </text>
    </comment>
  </commentList>
</comments>
</file>

<file path=xl/comments6.xml><?xml version="1.0" encoding="utf-8"?>
<comments xmlns="http://schemas.openxmlformats.org/spreadsheetml/2006/main">
  <authors>
    <author>Dan Lash</author>
    <author>tc={6DAA55AE-BD4E-44C7-9057-1BCBBACFA238}</author>
    <author>tc={D445E9FE-BA59-4A13-BB84-7A5EEB6DDF92}</author>
    <author>tc={4E42DC59-667F-40CB-AF18-AABD4D0F3260}</author>
  </authors>
  <commentList>
    <comment ref="V10" authorId="0" shapeId="0">
      <text>
        <r>
          <rPr>
            <sz val="9"/>
            <color indexed="81"/>
            <rFont val="Tahoma"/>
            <family val="2"/>
          </rPr>
          <t>Assumesb ay is costed same as main roof - area is so small likely to be academic</t>
        </r>
      </text>
    </comment>
    <comment ref="V13" authorId="0" shapeId="0">
      <text>
        <r>
          <rPr>
            <sz val="9"/>
            <color indexed="81"/>
            <rFont val="Tahoma"/>
            <family val="2"/>
          </rPr>
          <t>Assumes no cost uplift with improved efficiency - unlikely to be true</t>
        </r>
      </text>
    </comment>
    <comment ref="V15" authorId="0" shapeId="0">
      <text>
        <r>
          <rPr>
            <sz val="9"/>
            <color indexed="81"/>
            <rFont val="Tahoma"/>
            <family val="2"/>
          </rPr>
          <t>Assumes no cost as C&amp;B source costings do not have cost uplifts for thermal bridging</t>
        </r>
      </text>
    </comment>
    <comment ref="V16" authorId="0" shapeId="0">
      <text>
        <r>
          <rPr>
            <sz val="9"/>
            <color indexed="81"/>
            <rFont val="Tahoma"/>
            <family val="2"/>
          </rPr>
          <t>Assumes no cost uplift with improved efficiency - unlikely to be true</t>
        </r>
      </text>
    </comment>
    <comment ref="V17" authorId="0" shapeId="0">
      <text>
        <r>
          <rPr>
            <sz val="9"/>
            <color indexed="81"/>
            <rFont val="Tahoma"/>
            <family val="2"/>
          </rPr>
          <t>Assumes no cost uplift with improved efficiency - unlikely to be true</t>
        </r>
      </text>
    </comment>
    <comment ref="V21" authorId="0" shapeId="0">
      <text>
        <r>
          <rPr>
            <sz val="9"/>
            <color indexed="81"/>
            <rFont val="Tahoma"/>
            <family val="2"/>
          </rPr>
          <t>Not used in calculations or analysis for now</t>
        </r>
      </text>
    </comment>
    <comment ref="V22" authorId="0" shapeId="0">
      <text>
        <r>
          <rPr>
            <sz val="9"/>
            <color indexed="81"/>
            <rFont val="Tahoma"/>
            <family val="2"/>
          </rPr>
          <t>Not used in calculations or analysis for now</t>
        </r>
      </text>
    </comment>
    <comment ref="V23" authorId="0" shapeId="0">
      <text>
        <r>
          <rPr>
            <sz val="9"/>
            <color indexed="81"/>
            <rFont val="Tahoma"/>
            <family val="2"/>
          </rPr>
          <t>Not used in calculations or analysis for now</t>
        </r>
      </text>
    </comment>
    <comment ref="B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power = 185 x TFA / efficacy</t>
        </r>
      </text>
    </comment>
    <comment ref="B8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reductions if MVHR present.</t>
        </r>
      </text>
    </comment>
    <comment ref="B8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N being based on the "1/20" conversion rule of thumb for pressure test value.</t>
        </r>
      </text>
    </comment>
  </commentList>
</comments>
</file>

<file path=xl/comments7.xml><?xml version="1.0" encoding="utf-8"?>
<comments xmlns="http://schemas.openxmlformats.org/spreadsheetml/2006/main">
  <authors>
    <author>Dan Lash</author>
    <author>tc={911616F6-A022-4594-BC0A-025FB58C87C7}</author>
    <author>tc={E3F23123-1AAB-42CB-93B4-CF500D5ADAB3}</author>
    <author>tc={453AF729-A377-433E-B65E-161601AE2849}</author>
  </authors>
  <commentList>
    <comment ref="V10" authorId="0" shapeId="0">
      <text>
        <r>
          <rPr>
            <sz val="9"/>
            <color indexed="81"/>
            <rFont val="Tahoma"/>
            <family val="2"/>
          </rPr>
          <t>Assumesb ay is costed same as main roof - area is so small likely to be academic</t>
        </r>
      </text>
    </comment>
    <comment ref="V13" authorId="0" shapeId="0">
      <text>
        <r>
          <rPr>
            <sz val="9"/>
            <color indexed="81"/>
            <rFont val="Tahoma"/>
            <family val="2"/>
          </rPr>
          <t>Assumes no cost uplift with improved efficiency - unlikely to be true</t>
        </r>
      </text>
    </comment>
    <comment ref="V15" authorId="0" shapeId="0">
      <text>
        <r>
          <rPr>
            <sz val="9"/>
            <color indexed="81"/>
            <rFont val="Tahoma"/>
            <family val="2"/>
          </rPr>
          <t>Assumes no cost as C&amp;B source costings do not have cost uplifts for thermal bridging</t>
        </r>
      </text>
    </comment>
    <comment ref="V16" authorId="0" shapeId="0">
      <text>
        <r>
          <rPr>
            <sz val="9"/>
            <color indexed="81"/>
            <rFont val="Tahoma"/>
            <family val="2"/>
          </rPr>
          <t>Assumes no cost uplift with improved efficiency - unlikely to be true</t>
        </r>
      </text>
    </comment>
    <comment ref="V17" authorId="0" shapeId="0">
      <text>
        <r>
          <rPr>
            <sz val="9"/>
            <color indexed="81"/>
            <rFont val="Tahoma"/>
            <family val="2"/>
          </rPr>
          <t>Assumes no cost uplift with improved efficiency - unlikely to be true</t>
        </r>
      </text>
    </comment>
    <comment ref="V21" authorId="0" shapeId="0">
      <text>
        <r>
          <rPr>
            <sz val="9"/>
            <color indexed="81"/>
            <rFont val="Tahoma"/>
            <family val="2"/>
          </rPr>
          <t>Not used in calculations or analysis for now</t>
        </r>
      </text>
    </comment>
    <comment ref="V22" authorId="0" shapeId="0">
      <text>
        <r>
          <rPr>
            <sz val="9"/>
            <color indexed="81"/>
            <rFont val="Tahoma"/>
            <family val="2"/>
          </rPr>
          <t>Not used in calculations or analysis for now</t>
        </r>
      </text>
    </comment>
    <comment ref="V23" authorId="0" shapeId="0">
      <text>
        <r>
          <rPr>
            <sz val="9"/>
            <color indexed="81"/>
            <rFont val="Tahoma"/>
            <family val="2"/>
          </rPr>
          <t>Not used in calculations or analysis for now</t>
        </r>
      </text>
    </comment>
    <comment ref="B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power = 185 x TFA / efficacy</t>
        </r>
      </text>
    </comment>
    <comment ref="B8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reductions if MVHR present.</t>
        </r>
      </text>
    </comment>
    <comment ref="B8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N being based on the "1/20" conversion rule of thumb for pressure test value.</t>
        </r>
      </text>
    </comment>
  </commentList>
</comments>
</file>

<file path=xl/comments8.xml><?xml version="1.0" encoding="utf-8"?>
<comments xmlns="http://schemas.openxmlformats.org/spreadsheetml/2006/main">
  <authors>
    <author>Dan Lash</author>
  </authors>
  <commentList>
    <comment ref="E53" authorId="0" shapeId="0">
      <text>
        <r>
          <rPr>
            <sz val="9"/>
            <color indexed="81"/>
            <rFont val="Tahoma"/>
            <family val="2"/>
          </rPr>
          <t>Value used to apportion B and C to respective year</t>
        </r>
      </text>
    </comment>
  </commentList>
</comments>
</file>

<file path=xl/comments9.xml><?xml version="1.0" encoding="utf-8"?>
<comments xmlns="http://schemas.openxmlformats.org/spreadsheetml/2006/main">
  <authors>
    <author>Dan Lash</author>
  </authors>
  <commentList>
    <comment ref="H4" authorId="0" shapeId="0">
      <text>
        <r>
          <rPr>
            <b/>
            <sz val="9"/>
            <color indexed="81"/>
            <rFont val="Tahoma"/>
            <family val="2"/>
          </rPr>
          <t>Emissions by Dwelling Type</t>
        </r>
        <r>
          <rPr>
            <sz val="9"/>
            <color indexed="81"/>
            <rFont val="Tahoma"/>
            <family val="2"/>
          </rPr>
          <t xml:space="preserve">
This graph shows total emissions in tCO2e for each of the four dwelling typologies for each of the three embodied stages, and for operational emissions, over the life of the development. It is taken from the data in the “GREENHOUSE GAS EMISSIONS” table to the left.
</t>
        </r>
      </text>
    </comment>
    <comment ref="M4" authorId="0" shapeId="0">
      <text>
        <r>
          <rPr>
            <b/>
            <sz val="9"/>
            <color indexed="81"/>
            <rFont val="Tahoma"/>
            <family val="2"/>
          </rPr>
          <t xml:space="preserve">Emissions by Category
</t>
        </r>
        <r>
          <rPr>
            <sz val="9"/>
            <color indexed="81"/>
            <rFont val="Tahoma"/>
            <family val="2"/>
          </rPr>
          <t xml:space="preserve">
This graph shows total emissions in tCO2e for the three embodied stages, and for operational emissions, over the life of the development for each of the four dwelling typologies. It is taken from the data in the “GREENHOUSE GAS EMISSIONS” table to the left.
</t>
        </r>
      </text>
    </comment>
    <comment ref="B5" authorId="0" shapeId="0">
      <text>
        <r>
          <rPr>
            <b/>
            <sz val="9"/>
            <color indexed="81"/>
            <rFont val="Tahoma"/>
            <family val="2"/>
          </rPr>
          <t xml:space="preserve">MODEL OPTIMISED SPECIFICATION
</t>
        </r>
        <r>
          <rPr>
            <sz val="9"/>
            <color indexed="81"/>
            <rFont val="Tahoma"/>
            <family val="2"/>
          </rPr>
          <t xml:space="preserve">
The model works by taking the required performance standards as defined on the Input sheet, and then for each of the four dwelling typologies (Detached, Attached, 1 Bed Flat, 2 Bed Flat), undertaking calculations to establish the cheapest way of meeting them for different combinations of fabric, building services, and roof mounted PV. 
This table summarises the number of each of the four dwelling types within the development, the scenario name chosen as the cheapest modelled option that met the requirements, and then a breakdown of the specification including size of PV array in kWp.
It is noted that for some combinations of input (e.g. very aggressive carbon reduction standards for blocks of flats), there is not always a technical solution possible (e.g. if there is not enough roof area to offset emissions). In these cases, an error message is displayed here.</t>
        </r>
      </text>
    </comment>
    <comment ref="B20" authorId="0" shapeId="0">
      <text>
        <r>
          <rPr>
            <b/>
            <sz val="9"/>
            <color indexed="81"/>
            <rFont val="Tahoma"/>
            <family val="2"/>
          </rPr>
          <t>GREENHOUSE GAS EMISSIONS</t>
        </r>
        <r>
          <rPr>
            <sz val="9"/>
            <color indexed="81"/>
            <rFont val="Tahoma"/>
            <family val="2"/>
          </rPr>
          <t xml:space="preserve">
The two tables below give summary data for greenhouse gas emissions from the four dwelling typologies (and the total for the development) for different aspects of emissions. 
The first three output columns relate to embodied carbon which are split into “upfront”, “in-use”, and “end of life”. These can also be seen in the “Cumulative Emissions” graph to the right. Where the Input sheet excludes embodied emissions the values in these columns will be zero. 
The “Operational lifetime” emissions are those that accumulate over the life of the development from the energy used, and this will depend on factors like the efficiency of the building, the heating technology used, and the amount of renewable energy generation.
The first of the two tables provide the outputs as tonnes of carbon dioxide equivalent (tCO2e). The second table provides the same information but expressed as percentages of the total lifetime development emissions. The data from this table is also shown in the two graphs at the top of the sheet, which show emissions by dwelling type broken down by emissions category (left graph), and then emissions by category by dwelling type (right).
</t>
        </r>
      </text>
    </comment>
    <comment ref="H21" authorId="0" shapeId="0">
      <text>
        <r>
          <rPr>
            <b/>
            <sz val="9"/>
            <color indexed="81"/>
            <rFont val="Tahoma"/>
            <family val="2"/>
          </rPr>
          <t>Cumulative Emissions tCO2e</t>
        </r>
        <r>
          <rPr>
            <sz val="9"/>
            <color indexed="81"/>
            <rFont val="Tahoma"/>
            <family val="2"/>
          </rPr>
          <t xml:space="preserve">
This graph shows cumulative emissions over the lifetime of the development (which is always assumed to be a 60-year analysis period). The emissions are broken down for each of the four dwelling typologies, and within those by “embodied” (total of upfront, in-use and end of life) and “operational”.
</t>
        </r>
      </text>
    </comment>
    <comment ref="M21" authorId="0" shapeId="0">
      <text>
        <r>
          <rPr>
            <b/>
            <sz val="9"/>
            <color indexed="81"/>
            <rFont val="Tahoma"/>
            <family val="2"/>
          </rPr>
          <t>Upfront, Energy and Carbon Costs</t>
        </r>
        <r>
          <rPr>
            <sz val="9"/>
            <color indexed="81"/>
            <rFont val="Tahoma"/>
            <family val="2"/>
          </rPr>
          <t xml:space="preserve">
This graph summarises the total additional development costs, lifetime energy (30 and 60 year) and cost of carbon as described in the “Cost Outputs” table to the left.
</t>
        </r>
      </text>
    </comment>
    <comment ref="B37" authorId="0" shapeId="0">
      <text>
        <r>
          <rPr>
            <b/>
            <sz val="9"/>
            <color indexed="81"/>
            <rFont val="Tahoma"/>
            <family val="2"/>
          </rPr>
          <t>COST OUTPUTS</t>
        </r>
        <r>
          <rPr>
            <sz val="9"/>
            <color indexed="81"/>
            <rFont val="Tahoma"/>
            <family val="2"/>
          </rPr>
          <t xml:space="preserve">
This table provides summary cost outputs for the modelled development broken down by the four dwelling typologies, and as a total. Description of each of the columns is as follows: 
</t>
        </r>
        <r>
          <rPr>
            <b/>
            <i/>
            <sz val="9"/>
            <color indexed="81"/>
            <rFont val="Tahoma"/>
            <family val="2"/>
          </rPr>
          <t>Development Additional Cost over Minimum</t>
        </r>
        <r>
          <rPr>
            <sz val="9"/>
            <color indexed="81"/>
            <rFont val="Tahoma"/>
            <family val="2"/>
          </rPr>
          <t xml:space="preserve">
This is the total additional cost to meet the targeted performance criteria. The costs are the difference in the cost of the house build to the targeted standards when compared to one that just meets the Part L requirements, and so therefore everything else is assumed to be the equal (for example, the cost of land). It is noted that sometimes the additional cost for some combination of inputs is zero. This is because the source data that costs and energy performance have been taken from assume a relatively low cost for an ASHP, meaning that those scenarios are often chosen even to just meet Part L, whereas in practice they might actually improve in the minimum requirements of Part L by a significant amount. This issue is especially pronounced under the 2021 Part L i.e. for any developments started prior to 2026.
</t>
        </r>
        <r>
          <rPr>
            <b/>
            <i/>
            <sz val="9"/>
            <color indexed="81"/>
            <rFont val="Tahoma"/>
            <family val="2"/>
          </rPr>
          <t xml:space="preserve">
Av. Dwelling Additional Cost over Minimum</t>
        </r>
        <r>
          <rPr>
            <sz val="9"/>
            <color indexed="81"/>
            <rFont val="Tahoma"/>
            <family val="2"/>
          </rPr>
          <t xml:space="preserve">
This is the average additional cost per dwelling, i.e. the additional development costs as described above divided by the number of dwellings of each type.
</t>
        </r>
        <r>
          <rPr>
            <b/>
            <i/>
            <sz val="9"/>
            <color indexed="81"/>
            <rFont val="Tahoma"/>
            <family val="2"/>
          </rPr>
          <t>Discounted energy cost 30 years</t>
        </r>
        <r>
          <rPr>
            <sz val="9"/>
            <color indexed="81"/>
            <rFont val="Tahoma"/>
            <family val="2"/>
          </rPr>
          <t xml:space="preserve">
This is the total cost of energy over 30 years for electricity (and gas where applicable). Energy price projections are given in BEIS 2018 Updated Energy &amp; Emissions Projections: Annex M up to 2036, from which point we have assumed the price remains constant. The costs over the period have been aggregated using discounted cashflow analysis with discount rate as specified in the H M Treasury Green Book.
</t>
        </r>
        <r>
          <rPr>
            <b/>
            <i/>
            <sz val="9"/>
            <color indexed="81"/>
            <rFont val="Tahoma"/>
            <family val="2"/>
          </rPr>
          <t>Discounted energy cost 60 years</t>
        </r>
        <r>
          <rPr>
            <sz val="9"/>
            <color indexed="81"/>
            <rFont val="Tahoma"/>
            <family val="2"/>
          </rPr>
          <t xml:space="preserve">
This is the same as the above but for 60 years (assumed development life) rather than 30 years.
</t>
        </r>
        <r>
          <rPr>
            <b/>
            <i/>
            <sz val="9"/>
            <color indexed="81"/>
            <rFont val="Tahoma"/>
            <family val="2"/>
          </rPr>
          <t>Discounted carbon cost 60 years</t>
        </r>
        <r>
          <rPr>
            <sz val="9"/>
            <color indexed="81"/>
            <rFont val="Tahoma"/>
            <family val="2"/>
          </rPr>
          <t xml:space="preserve">
This output assigns a financial value to the carbon emissions by multiplying the emissions for each year by the price of carbon (£/tonne) as given in BEIS 2018 Updated Energy &amp; Emissions Projections: Annex M for the “Electricity supply sector”. Values are provided until 2036, from which point we have assumed the price remains constant. The costs over the period have been aggregated using discounted cashflow analysis with discount rate as specified in the H M Treasury Green Book.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<sst xmlns="http://schemas.openxmlformats.org/spreadsheetml/2006/main" count="3576" uniqueCount="905">
  <si>
    <t>Standards</t>
  </si>
  <si>
    <t>2021 Part L</t>
  </si>
  <si>
    <t>Improvements on 2021 Part L?</t>
  </si>
  <si>
    <t>FHS 2025</t>
  </si>
  <si>
    <t>Passivhaus</t>
  </si>
  <si>
    <t>LETI</t>
  </si>
  <si>
    <t>Name</t>
  </si>
  <si>
    <t>Type</t>
  </si>
  <si>
    <t>Notes</t>
  </si>
  <si>
    <t>Operational</t>
  </si>
  <si>
    <t>Performance Gap</t>
  </si>
  <si>
    <t>Embodied</t>
  </si>
  <si>
    <t>Annex A Part L 2021 consultation responses indicative specification</t>
  </si>
  <si>
    <t>Annex B Part L 2021 consultation responses notional specification</t>
  </si>
  <si>
    <t>From The Future Homes Standard: 2019 Consultation on changes to Part L (conservation of fuel and power) and Part F (ventilation) of the Building Regulations for new dwellings Summary of responses received and Government response, December 2021</t>
  </si>
  <si>
    <t>Parameter</t>
  </si>
  <si>
    <t>Units</t>
  </si>
  <si>
    <t>Detached</t>
  </si>
  <si>
    <t>n/a</t>
  </si>
  <si>
    <t>lm/W</t>
  </si>
  <si>
    <t>ASHP</t>
  </si>
  <si>
    <t>Showers</t>
  </si>
  <si>
    <t>Ventilation</t>
  </si>
  <si>
    <t>ac/h</t>
  </si>
  <si>
    <t>W/K</t>
  </si>
  <si>
    <t>%</t>
  </si>
  <si>
    <t>kWh</t>
  </si>
  <si>
    <t>Fuel</t>
  </si>
  <si>
    <t>Electricity</t>
  </si>
  <si>
    <t>Gas</t>
  </si>
  <si>
    <t>From Appendix M and U</t>
  </si>
  <si>
    <t>For represeantive PV in South West oriented SE/SW 45o inclination little to no shading</t>
  </si>
  <si>
    <t>Calculating constants A to C from equiation U3</t>
  </si>
  <si>
    <t xml:space="preserve">k1 </t>
  </si>
  <si>
    <t xml:space="preserve">k2 </t>
  </si>
  <si>
    <t xml:space="preserve">k
3 </t>
  </si>
  <si>
    <t xml:space="preserve">k4 </t>
  </si>
  <si>
    <t xml:space="preserve">k
5 </t>
  </si>
  <si>
    <t xml:space="preserve">k
6 </t>
  </si>
  <si>
    <t xml:space="preserve">k
7 </t>
  </si>
  <si>
    <t xml:space="preserve">k
8 </t>
  </si>
  <si>
    <t xml:space="preserve">k
9 </t>
  </si>
  <si>
    <t>Inclination</t>
  </si>
  <si>
    <t>radians</t>
  </si>
  <si>
    <t>sin(p/2)</t>
  </si>
  <si>
    <t>A</t>
  </si>
  <si>
    <t>B</t>
  </si>
  <si>
    <t>C</t>
  </si>
  <si>
    <t>Latitude</t>
  </si>
  <si>
    <t>degrees</t>
  </si>
  <si>
    <t>Table U4</t>
  </si>
  <si>
    <t xml:space="preserve">Region </t>
  </si>
  <si>
    <t xml:space="preserve">Jan </t>
  </si>
  <si>
    <t xml:space="preserve">Feb </t>
  </si>
  <si>
    <t xml:space="preserve">Mar </t>
  </si>
  <si>
    <t xml:space="preserve">Apr </t>
  </si>
  <si>
    <t xml:space="preserve">May </t>
  </si>
  <si>
    <t xml:space="preserve">Jun </t>
  </si>
  <si>
    <t xml:space="preserve">Jul </t>
  </si>
  <si>
    <t xml:space="preserve">Aug </t>
  </si>
  <si>
    <t xml:space="preserve">Sep </t>
  </si>
  <si>
    <t xml:space="preserve">Oct </t>
  </si>
  <si>
    <t xml:space="preserve">Nov </t>
  </si>
  <si>
    <t>Dec</t>
  </si>
  <si>
    <t>Solar declination (delta)</t>
  </si>
  <si>
    <t>Days</t>
  </si>
  <si>
    <t>cos(phi-delta)</t>
  </si>
  <si>
    <t>Rh-inc</t>
  </si>
  <si>
    <t xml:space="preserve">S(orient, p, m) </t>
  </si>
  <si>
    <t>Annual radiation kWh/m2 [S]</t>
  </si>
  <si>
    <t>Assumed PV side</t>
  </si>
  <si>
    <t>kW</t>
  </si>
  <si>
    <t>Shading factor</t>
  </si>
  <si>
    <t>Annual PV production</t>
  </si>
  <si>
    <t>per kW</t>
  </si>
  <si>
    <t>Estimate convert kWp to area</t>
  </si>
  <si>
    <t>m2/kWp</t>
  </si>
  <si>
    <t>http://www.inbalance-energy.co.uk/articles/solar_panels_pv_calculator.html</t>
  </si>
  <si>
    <t>Part L 2020 Option B PV size</t>
  </si>
  <si>
    <t>kWp</t>
  </si>
  <si>
    <t>based on panel area 6.5 m2</t>
  </si>
  <si>
    <t>Part L 2020 Option B PV generation</t>
  </si>
  <si>
    <t>Year</t>
  </si>
  <si>
    <t>Future Home Standard Impact Assessment 2019</t>
  </si>
  <si>
    <t>PV Costs</t>
  </si>
  <si>
    <t>Size</t>
  </si>
  <si>
    <t>Fixed</t>
  </si>
  <si>
    <t>Variable/W</t>
  </si>
  <si>
    <t>&lt; 4kWp</t>
  </si>
  <si>
    <t>&gt; 4 kWp</t>
  </si>
  <si>
    <t>Semi</t>
  </si>
  <si>
    <t>1B flat - ground</t>
  </si>
  <si>
    <t>1B flat - mid</t>
  </si>
  <si>
    <t>1B flat - top</t>
  </si>
  <si>
    <t>2B flat - ground</t>
  </si>
  <si>
    <t>2B flat - mid</t>
  </si>
  <si>
    <t>2B flat - top</t>
  </si>
  <si>
    <t>Table B.1 Area and storey heights of domestic archetypes</t>
  </si>
  <si>
    <t>AREAS (m2)</t>
  </si>
  <si>
    <t xml:space="preserve">Party wall </t>
  </si>
  <si>
    <t xml:space="preserve">Exposed wall </t>
  </si>
  <si>
    <t>Semi-exposed
wall</t>
  </si>
  <si>
    <t xml:space="preserve">Roof - Main </t>
  </si>
  <si>
    <t>Roof - Bay
window</t>
  </si>
  <si>
    <t xml:space="preserve">Floor </t>
  </si>
  <si>
    <t xml:space="preserve">TFA </t>
  </si>
  <si>
    <t>Total window
area</t>
  </si>
  <si>
    <t xml:space="preserve">Total door area </t>
  </si>
  <si>
    <t>HEIGHTS (m)</t>
  </si>
  <si>
    <t xml:space="preserve">Storey </t>
  </si>
  <si>
    <t>Exposed surface area</t>
  </si>
  <si>
    <t>Table B.2 Area and storey heights of non-domestic archetypes</t>
  </si>
  <si>
    <t>AC office</t>
  </si>
  <si>
    <t>NV office</t>
  </si>
  <si>
    <t>AREAS (sqm)</t>
  </si>
  <si>
    <t xml:space="preserve">Exposed wall (excl glazing) </t>
  </si>
  <si>
    <t xml:space="preserve">Ground Floor </t>
  </si>
  <si>
    <t xml:space="preserve">Glazing ratio </t>
  </si>
  <si>
    <t xml:space="preserve">Total window area </t>
  </si>
  <si>
    <t>Table C.1 Improvement measures for detached house</t>
  </si>
  <si>
    <t>Part L Notional</t>
  </si>
  <si>
    <r>
      <t>35kWh/m</t>
    </r>
    <r>
      <rPr>
        <sz val="6"/>
        <rFont val="ArialMT"/>
      </rPr>
      <t>2</t>
    </r>
    <r>
      <rPr>
        <sz val="9"/>
        <rFont val="ArialMT"/>
      </rPr>
      <t>/yr – Natural
Ventilation</t>
    </r>
  </si>
  <si>
    <r>
      <t>35kWh/m</t>
    </r>
    <r>
      <rPr>
        <sz val="6"/>
        <rFont val="ArialMT"/>
      </rPr>
      <t>2/</t>
    </r>
    <r>
      <rPr>
        <sz val="9"/>
        <rFont val="ArialMT"/>
      </rPr>
      <t>yr – Heat
Recovery</t>
    </r>
  </si>
  <si>
    <r>
      <t>30kWh/m</t>
    </r>
    <r>
      <rPr>
        <sz val="6"/>
        <rFont val="ArialMT"/>
      </rPr>
      <t>2</t>
    </r>
    <r>
      <rPr>
        <sz val="9"/>
        <rFont val="ArialMT"/>
      </rPr>
      <t>/yr</t>
    </r>
  </si>
  <si>
    <r>
      <t>25kWh/m</t>
    </r>
    <r>
      <rPr>
        <sz val="6"/>
        <rFont val="ArialMT"/>
      </rPr>
      <t>2</t>
    </r>
    <r>
      <rPr>
        <sz val="9"/>
        <rFont val="ArialMT"/>
      </rPr>
      <t>/yr</t>
    </r>
  </si>
  <si>
    <r>
      <t>20kWh/m</t>
    </r>
    <r>
      <rPr>
        <sz val="6"/>
        <rFont val="ArialMT"/>
      </rPr>
      <t>2</t>
    </r>
    <r>
      <rPr>
        <sz val="9"/>
        <rFont val="ArialMT"/>
      </rPr>
      <t>/yr</t>
    </r>
  </si>
  <si>
    <r>
      <t>15kWh/m</t>
    </r>
    <r>
      <rPr>
        <sz val="6"/>
        <rFont val="ArialMT"/>
      </rPr>
      <t>2</t>
    </r>
    <r>
      <rPr>
        <sz val="9"/>
        <rFont val="ArialMT"/>
      </rPr>
      <t>/yr</t>
    </r>
  </si>
  <si>
    <t xml:space="preserve">Walls </t>
  </si>
  <si>
    <t xml:space="preserve">Exposed (W/m².K) </t>
  </si>
  <si>
    <t xml:space="preserve">Semi exposed (W/m².K) </t>
  </si>
  <si>
    <t xml:space="preserve">N/A </t>
  </si>
  <si>
    <t xml:space="preserve">Floors </t>
  </si>
  <si>
    <t xml:space="preserve">Ground Floor (W/m².K) </t>
  </si>
  <si>
    <t xml:space="preserve">Roofs </t>
  </si>
  <si>
    <t xml:space="preserve">Exposed Roof (W/m².K) </t>
  </si>
  <si>
    <t xml:space="preserve">Bay Window Roof (W/m².K) </t>
  </si>
  <si>
    <t xml:space="preserve">Doors </t>
  </si>
  <si>
    <t xml:space="preserve">U-value (W/m².K) </t>
  </si>
  <si>
    <t xml:space="preserve">Windows </t>
  </si>
  <si>
    <t xml:space="preserve">Ventilation </t>
  </si>
  <si>
    <t xml:space="preserve">Type </t>
  </si>
  <si>
    <t xml:space="preserve">Nat Vent </t>
  </si>
  <si>
    <t>MVHR</t>
  </si>
  <si>
    <t xml:space="preserve">Air
Permeability </t>
  </si>
  <si>
    <t xml:space="preserve">(m³/h.m² @50pa)** </t>
  </si>
  <si>
    <t xml:space="preserve">Thermal
Bridging </t>
  </si>
  <si>
    <t xml:space="preserve">Y-value </t>
  </si>
  <si>
    <t>Table C.2 Improvement measures for semi-detached house</t>
  </si>
  <si>
    <r>
      <t>35kWh/m</t>
    </r>
    <r>
      <rPr>
        <sz val="6"/>
        <rFont val="ArialMT"/>
      </rPr>
      <t>2</t>
    </r>
    <r>
      <rPr>
        <sz val="9"/>
        <rFont val="ArialMT"/>
      </rPr>
      <t>/yr</t>
    </r>
  </si>
  <si>
    <t>Table C.3 Improvement measures for small flat</t>
  </si>
  <si>
    <t>Table C.4 Improvement measures for large flat</t>
  </si>
  <si>
    <t>Table C.5 Improvement measures for naturally ventilated office</t>
  </si>
  <si>
    <t>Building Element Description</t>
  </si>
  <si>
    <t xml:space="preserve">Part L (2013) </t>
  </si>
  <si>
    <t>Part L (2013)</t>
  </si>
  <si>
    <t>20% improvement</t>
  </si>
  <si>
    <t>DH-25%
Improvement</t>
  </si>
  <si>
    <t xml:space="preserve">External Wall 1 </t>
  </si>
  <si>
    <t xml:space="preserve">U-value, W/m²K </t>
  </si>
  <si>
    <t xml:space="preserve">Ground Floor
(Ground
Contact) </t>
  </si>
  <si>
    <t xml:space="preserve">Roof </t>
  </si>
  <si>
    <t xml:space="preserve">g-value </t>
  </si>
  <si>
    <t>Nat Vent</t>
  </si>
  <si>
    <t xml:space="preserve">Air Permeability </t>
  </si>
  <si>
    <t xml:space="preserve">m³/h.m² @50Pa* </t>
  </si>
  <si>
    <t xml:space="preserve">Lighting </t>
  </si>
  <si>
    <t xml:space="preserve">Lumens per circuit
watt </t>
  </si>
  <si>
    <t>Table C.6 Improvement measures for air-conditioned office</t>
  </si>
  <si>
    <t xml:space="preserve">A/C </t>
  </si>
  <si>
    <t>A/C</t>
  </si>
  <si>
    <t>Table C.7 Space heating and hot water demand in each building archetype</t>
  </si>
  <si>
    <t xml:space="preserve">Space heating demand </t>
  </si>
  <si>
    <t xml:space="preserve">
Domestic hot water
demand
</t>
  </si>
  <si>
    <t>Ratio (heat domestic hot
water</t>
  </si>
  <si>
    <t>Detached House</t>
  </si>
  <si>
    <t xml:space="preserve">G-Part L Notional </t>
  </si>
  <si>
    <t xml:space="preserve">G-35-NV </t>
  </si>
  <si>
    <t xml:space="preserve">G-35-HR </t>
  </si>
  <si>
    <t xml:space="preserve">G-30 </t>
  </si>
  <si>
    <t xml:space="preserve">G-25 </t>
  </si>
  <si>
    <t xml:space="preserve">G-20 </t>
  </si>
  <si>
    <t xml:space="preserve">G-15 </t>
  </si>
  <si>
    <t xml:space="preserve">ASHP-Part L Not </t>
  </si>
  <si>
    <t xml:space="preserve">ASHP-35-NV </t>
  </si>
  <si>
    <t xml:space="preserve">ASHP-35-HR </t>
  </si>
  <si>
    <t xml:space="preserve">ASHP-30 </t>
  </si>
  <si>
    <t xml:space="preserve">ASHP-25 </t>
  </si>
  <si>
    <t xml:space="preserve">ASHP-20 </t>
  </si>
  <si>
    <t xml:space="preserve">ASHP-15 </t>
  </si>
  <si>
    <t>Semi-detached House</t>
  </si>
  <si>
    <t xml:space="preserve">G-Base Case </t>
  </si>
  <si>
    <t xml:space="preserve">G-NHBC </t>
  </si>
  <si>
    <t xml:space="preserve">G-35 </t>
  </si>
  <si>
    <t xml:space="preserve">ASHP-35 </t>
  </si>
  <si>
    <t>Small Flat</t>
  </si>
  <si>
    <t>Large Flat</t>
  </si>
  <si>
    <t>Naturally ventilated office</t>
  </si>
  <si>
    <t xml:space="preserve">G - Part L (2013) </t>
  </si>
  <si>
    <t xml:space="preserve">G-15% Improvement </t>
  </si>
  <si>
    <t xml:space="preserve">G-20% Improvement </t>
  </si>
  <si>
    <t xml:space="preserve">G-25% Improvement </t>
  </si>
  <si>
    <t xml:space="preserve">ASHP - Part L (2013) </t>
  </si>
  <si>
    <t xml:space="preserve">ASHP-15% Improvement </t>
  </si>
  <si>
    <t xml:space="preserve">ASHP - 20% improvement </t>
  </si>
  <si>
    <t xml:space="preserve">ASHP-25% Improvement </t>
  </si>
  <si>
    <t>Air-conditioned office</t>
  </si>
  <si>
    <t>D.1 New build cost data for domestic buildings - fabric</t>
  </si>
  <si>
    <t xml:space="preserve">Element </t>
  </si>
  <si>
    <t xml:space="preserve">Specification </t>
  </si>
  <si>
    <t xml:space="preserve">Unit </t>
  </si>
  <si>
    <r>
      <t>New cost (£/m</t>
    </r>
    <r>
      <rPr>
        <sz val="6"/>
        <rFont val="ArialMT"/>
      </rPr>
      <t>2</t>
    </r>
    <r>
      <rPr>
        <sz val="9"/>
        <rFont val="ArialMT"/>
      </rPr>
      <t xml:space="preserve">) </t>
    </r>
  </si>
  <si>
    <r>
      <t>Retrofit cost (£m</t>
    </r>
    <r>
      <rPr>
        <sz val="6"/>
        <rFont val="ArialMT"/>
      </rPr>
      <t>2</t>
    </r>
    <r>
      <rPr>
        <sz val="9"/>
        <rFont val="ArialMT"/>
      </rPr>
      <t>)</t>
    </r>
  </si>
  <si>
    <t>Cost uplift/m2 element</t>
  </si>
  <si>
    <t>External Wall – Traditional masonry and mineral wool, retrofit with PIR</t>
  </si>
  <si>
    <t xml:space="preserve">External Wall (MW) </t>
  </si>
  <si>
    <t xml:space="preserve">W/m².K </t>
  </si>
  <si>
    <t>Base case</t>
  </si>
  <si>
    <t>Semi-exposed wall (MW)</t>
  </si>
  <si>
    <t xml:space="preserve">Semi-exposed wall </t>
  </si>
  <si>
    <t>Ground / Exposed Floor</t>
  </si>
  <si>
    <t xml:space="preserve">Ground / Exposed Floor </t>
  </si>
  <si>
    <t>Exposed Roof - Insulation at Joists</t>
  </si>
  <si>
    <t xml:space="preserve">Exposed Roof </t>
  </si>
  <si>
    <t>Doors</t>
  </si>
  <si>
    <t>Windows</t>
  </si>
  <si>
    <t>"Part L 2020 Option 2" assumes windows 1.2</t>
  </si>
  <si>
    <t>Design Air Permeability</t>
  </si>
  <si>
    <t xml:space="preserve">Design Air Permeability </t>
  </si>
  <si>
    <t xml:space="preserve">m³/hm² at 50Pa </t>
  </si>
  <si>
    <t>D.2 New build cost data for domestic buildings - services</t>
  </si>
  <si>
    <t>Specification</t>
  </si>
  <si>
    <t>New cost
(£/home)</t>
  </si>
  <si>
    <t>Retrofit cost
(£home)</t>
  </si>
  <si>
    <t>MVHR unit</t>
  </si>
  <si>
    <t xml:space="preserve">MVHR unit </t>
  </si>
  <si>
    <t xml:space="preserve">Detached </t>
  </si>
  <si>
    <t xml:space="preserve">Semi-Detached </t>
  </si>
  <si>
    <t xml:space="preserve">Small Flat </t>
  </si>
  <si>
    <t xml:space="preserve">Large Flat </t>
  </si>
  <si>
    <t>MVHR ducting and installation</t>
  </si>
  <si>
    <t xml:space="preserve">MVHR ducting and installation </t>
  </si>
  <si>
    <t>Gas Boiler</t>
  </si>
  <si>
    <t xml:space="preserve">Gas Boiler </t>
  </si>
  <si>
    <t xml:space="preserve">System </t>
  </si>
  <si>
    <t xml:space="preserve">Combi </t>
  </si>
  <si>
    <t xml:space="preserve">Communal </t>
  </si>
  <si>
    <t>Gas Boiler Sundries (controls and distribution)</t>
  </si>
  <si>
    <t xml:space="preserve">Gas Boiler Sundries </t>
  </si>
  <si>
    <t xml:space="preserve">ASHP </t>
  </si>
  <si>
    <t>ASHP Sundries (controls and distribution, etc)</t>
  </si>
  <si>
    <t xml:space="preserve">ASHP Sundries </t>
  </si>
  <si>
    <t xml:space="preserve">Gas connection </t>
  </si>
  <si>
    <t xml:space="preserve">Single property (outside London) </t>
  </si>
  <si>
    <t xml:space="preserve">Single property (London) </t>
  </si>
  <si>
    <t xml:space="preserve">Development of 10 properties </t>
  </si>
  <si>
    <t xml:space="preserve">Development of 100 properties </t>
  </si>
  <si>
    <t>District Heat Network</t>
  </si>
  <si>
    <t xml:space="preserve">District HP - Houses </t>
  </si>
  <si>
    <t xml:space="preserve">District HP - Flats </t>
  </si>
  <si>
    <t>District Heat Pump - Connection</t>
  </si>
  <si>
    <t xml:space="preserve">Connection - Houses </t>
  </si>
  <si>
    <t xml:space="preserve">Connection - Flats </t>
  </si>
  <si>
    <t>Communal Heat Pump - Flats</t>
  </si>
  <si>
    <t xml:space="preserve">Communal HP - Flats </t>
  </si>
  <si>
    <t>Communal Heat Pump - Flats - Sundries</t>
  </si>
  <si>
    <t>Standard Radiators</t>
  </si>
  <si>
    <t xml:space="preserve">Standard Radiators </t>
  </si>
  <si>
    <t>Larger Radiators</t>
  </si>
  <si>
    <t xml:space="preserve">Larger Radiators </t>
  </si>
  <si>
    <t>Hot water store</t>
  </si>
  <si>
    <t xml:space="preserve">Unvented indirect cylinder </t>
  </si>
  <si>
    <t xml:space="preserve">300 litres </t>
  </si>
  <si>
    <t xml:space="preserve">210 litres </t>
  </si>
  <si>
    <t>Thermal store for heating system</t>
  </si>
  <si>
    <t xml:space="preserve">Thermal Store </t>
  </si>
  <si>
    <t xml:space="preserve">500 litres </t>
  </si>
  <si>
    <t xml:space="preserve">350 litres </t>
  </si>
  <si>
    <t>Battery Storage</t>
  </si>
  <si>
    <t xml:space="preserve">Battery Storage </t>
  </si>
  <si>
    <t xml:space="preserve">All </t>
  </si>
  <si>
    <t xml:space="preserve">2kW </t>
  </si>
  <si>
    <t>External Shading</t>
  </si>
  <si>
    <t xml:space="preserve">External Shading </t>
  </si>
  <si>
    <t>D.3 Life expectancy and maintenance costs</t>
  </si>
  <si>
    <t xml:space="preserve">Life expectancy </t>
  </si>
  <si>
    <t>Annual maintenance costs (£ pa)</t>
  </si>
  <si>
    <t xml:space="preserve">Gas boiler </t>
  </si>
  <si>
    <t xml:space="preserve">Heat interface unit </t>
  </si>
  <si>
    <t xml:space="preserve">Radiators (standard and large) </t>
  </si>
  <si>
    <t xml:space="preserve">Hot water store </t>
  </si>
  <si>
    <t xml:space="preserve">Battery (Li-ion) </t>
  </si>
  <si>
    <t xml:space="preserve">MVHR </t>
  </si>
  <si>
    <t>Appendix E - Cost projections</t>
  </si>
  <si>
    <t>Measured from graphs</t>
  </si>
  <si>
    <t>Measure</t>
  </si>
  <si>
    <t>Triple glazed windows</t>
  </si>
  <si>
    <t>Heat Interface Units</t>
  </si>
  <si>
    <t>LED lighting</t>
  </si>
  <si>
    <t>Air tightness and thremal bridging</t>
  </si>
  <si>
    <t>Table 4.4</t>
  </si>
  <si>
    <t>Heat pump efficiency space</t>
  </si>
  <si>
    <t>Baseline gas heating efficiency</t>
  </si>
  <si>
    <t>Baseline gas water efficiency</t>
  </si>
  <si>
    <t>Heat pump space heating eff.</t>
  </si>
  <si>
    <t>Heat pump DHW space heating eff.</t>
  </si>
  <si>
    <t>Effective PE factor heat pumps</t>
  </si>
  <si>
    <t>Effective carbon intensity heat pumps</t>
  </si>
  <si>
    <t>Space heating Factor to change energy from boiler to HP</t>
  </si>
  <si>
    <t>DWH Factor to change energy from boiler to HP</t>
  </si>
  <si>
    <t>Number of people (from table 1b SAP)</t>
  </si>
  <si>
    <t>Floor</t>
  </si>
  <si>
    <t>Walls</t>
  </si>
  <si>
    <t>Roof</t>
  </si>
  <si>
    <t>Thermal bridging</t>
  </si>
  <si>
    <t>Ventilation loss</t>
  </si>
  <si>
    <t>Infiltration loss</t>
  </si>
  <si>
    <t>Total fabric loss</t>
  </si>
  <si>
    <t>Total air exchange loss</t>
  </si>
  <si>
    <t>Total heat loss</t>
  </si>
  <si>
    <t>kWh/m2</t>
  </si>
  <si>
    <t>Unregulated Cooking Energy</t>
  </si>
  <si>
    <t>Unregulated Electrical Appliances Energy</t>
  </si>
  <si>
    <t>kgCO2/m2</t>
  </si>
  <si>
    <t>Lighting</t>
  </si>
  <si>
    <t>£/dwelling</t>
  </si>
  <si>
    <t>Waste water heat recovery</t>
  </si>
  <si>
    <t>Houses and upper flats</t>
  </si>
  <si>
    <t>Ground flats</t>
  </si>
  <si>
    <t>pipe system</t>
  </si>
  <si>
    <t>tray system</t>
  </si>
  <si>
    <t>2019 values</t>
  </si>
  <si>
    <t>Enhanced power supply: Additional 1.5 kVa capacity to support use of heat pump</t>
  </si>
  <si>
    <t>Each</t>
  </si>
  <si>
    <t>New in 2021 Impact Assessment</t>
  </si>
  <si>
    <t>Note: These were not used in GESP analysis but should be for small flats (i.e. central HP and connection)</t>
  </si>
  <si>
    <t>INPUT Sheet</t>
  </si>
  <si>
    <t>Unit</t>
  </si>
  <si>
    <t>Walls: Exposed</t>
  </si>
  <si>
    <t>Walls: Semi-exposed</t>
  </si>
  <si>
    <t>W/m².K</t>
  </si>
  <si>
    <t xml:space="preserve">Roof: Bay Window Roof </t>
  </si>
  <si>
    <t>Roof: Main</t>
  </si>
  <si>
    <t>Nat Vent / MVHR</t>
  </si>
  <si>
    <t>Part L 21</t>
  </si>
  <si>
    <t>Heat Source</t>
  </si>
  <si>
    <t>Gas / ASHP</t>
  </si>
  <si>
    <t>Heat Source Sundries</t>
  </si>
  <si>
    <t>Heat Source Connection</t>
  </si>
  <si>
    <t>Heat Source connection</t>
  </si>
  <si>
    <t>Radiator Size</t>
  </si>
  <si>
    <t>Standard / Large</t>
  </si>
  <si>
    <t>FHS</t>
  </si>
  <si>
    <t>Hot Water Store</t>
  </si>
  <si>
    <t>Thermal Store</t>
  </si>
  <si>
    <t>None / Thermal Store</t>
  </si>
  <si>
    <t>Battery Store</t>
  </si>
  <si>
    <t>None / Battery</t>
  </si>
  <si>
    <t>Waste Water Heat Recovery</t>
  </si>
  <si>
    <t>None / Pipe / Tray</t>
  </si>
  <si>
    <r>
      <t>35kWh/m</t>
    </r>
    <r>
      <rPr>
        <b/>
        <sz val="6"/>
        <rFont val="ArialMT"/>
      </rPr>
      <t>2</t>
    </r>
    <r>
      <rPr>
        <b/>
        <sz val="9"/>
        <rFont val="ArialMT"/>
      </rPr>
      <t>/yr – Natural
Ventilation</t>
    </r>
  </si>
  <si>
    <r>
      <t>35kWh/m</t>
    </r>
    <r>
      <rPr>
        <b/>
        <sz val="6"/>
        <rFont val="ArialMT"/>
      </rPr>
      <t>2/</t>
    </r>
    <r>
      <rPr>
        <b/>
        <sz val="9"/>
        <rFont val="ArialMT"/>
      </rPr>
      <t>yr – Heat
Recovery</t>
    </r>
  </si>
  <si>
    <r>
      <t>30kWh/m</t>
    </r>
    <r>
      <rPr>
        <b/>
        <sz val="6"/>
        <rFont val="ArialMT"/>
      </rPr>
      <t>2</t>
    </r>
    <r>
      <rPr>
        <b/>
        <sz val="9"/>
        <rFont val="ArialMT"/>
      </rPr>
      <t>/yr</t>
    </r>
  </si>
  <si>
    <r>
      <t>25kWh/m</t>
    </r>
    <r>
      <rPr>
        <b/>
        <sz val="6"/>
        <rFont val="ArialMT"/>
      </rPr>
      <t>2</t>
    </r>
    <r>
      <rPr>
        <b/>
        <sz val="9"/>
        <rFont val="ArialMT"/>
      </rPr>
      <t>/yr</t>
    </r>
  </si>
  <si>
    <r>
      <t>20kWh/m</t>
    </r>
    <r>
      <rPr>
        <b/>
        <sz val="6"/>
        <rFont val="ArialMT"/>
      </rPr>
      <t>2</t>
    </r>
    <r>
      <rPr>
        <b/>
        <sz val="9"/>
        <rFont val="ArialMT"/>
      </rPr>
      <t>/yr</t>
    </r>
  </si>
  <si>
    <r>
      <t>15kWh/m</t>
    </r>
    <r>
      <rPr>
        <b/>
        <sz val="6"/>
        <rFont val="ArialMT"/>
      </rPr>
      <t>2</t>
    </r>
    <r>
      <rPr>
        <b/>
        <sz val="9"/>
        <rFont val="ArialMT"/>
      </rPr>
      <t>/yr</t>
    </r>
  </si>
  <si>
    <t>Large</t>
  </si>
  <si>
    <t>None</t>
  </si>
  <si>
    <t>None / Cylinder</t>
  </si>
  <si>
    <t>Cylinder</t>
  </si>
  <si>
    <t>Yes</t>
  </si>
  <si>
    <t>Lighting efficacy</t>
  </si>
  <si>
    <t>PV (SE/SW no overshading)</t>
  </si>
  <si>
    <t>Notional Building C&amp;B</t>
  </si>
  <si>
    <t>Space Heating Demand</t>
  </si>
  <si>
    <t>DHW Demand</t>
  </si>
  <si>
    <t>Space Heating Energy Use</t>
  </si>
  <si>
    <t>DHW Energy Use</t>
  </si>
  <si>
    <t>Aux Energy Use</t>
  </si>
  <si>
    <t>Lighting Energy Use</t>
  </si>
  <si>
    <t>Gas consumption</t>
  </si>
  <si>
    <t>Electricity Consumption</t>
  </si>
  <si>
    <t>Cell Colour Coding:</t>
  </si>
  <si>
    <t>Part L</t>
  </si>
  <si>
    <t>C&amp;B</t>
  </si>
  <si>
    <t>Assumed</t>
  </si>
  <si>
    <t>Calculated</t>
  </si>
  <si>
    <t>DETACHED</t>
  </si>
  <si>
    <t>Space Heating Efficiency</t>
  </si>
  <si>
    <t>DHW Efficiency</t>
  </si>
  <si>
    <t>Ventilation heat recovery eff.</t>
  </si>
  <si>
    <t>Graph</t>
  </si>
  <si>
    <t>Graph showing relationship between heat loss factor (W/K) and annual space heating demand (kWh/m2.year)</t>
  </si>
  <si>
    <t>Constants from graph:</t>
  </si>
  <si>
    <t>a</t>
  </si>
  <si>
    <t>b</t>
  </si>
  <si>
    <t>c</t>
  </si>
  <si>
    <t>Value</t>
  </si>
  <si>
    <t>Jan</t>
  </si>
  <si>
    <t>Feb</t>
  </si>
  <si>
    <t>Mar</t>
  </si>
  <si>
    <t>Apr</t>
  </si>
  <si>
    <t>May</t>
  </si>
  <si>
    <t>Jun</t>
  </si>
  <si>
    <t>Jul</t>
  </si>
  <si>
    <t>Aug</t>
  </si>
  <si>
    <t>Sep</t>
  </si>
  <si>
    <t>Oct</t>
  </si>
  <si>
    <t>Nov</t>
  </si>
  <si>
    <t>Total</t>
  </si>
  <si>
    <t>Standard tariff kgCO2e/kWh</t>
  </si>
  <si>
    <t>Space heating kWh</t>
  </si>
  <si>
    <t>% of annual by month</t>
  </si>
  <si>
    <t>Month relative to average</t>
  </si>
  <si>
    <t>Electricity use total</t>
  </si>
  <si>
    <t>Weighted annual kgCO2/kWh heating</t>
  </si>
  <si>
    <t>Weighted annual kgCO2/kWh export</t>
  </si>
  <si>
    <t>Assumes half generation is exported in any month</t>
  </si>
  <si>
    <t>Weighted factor to account for higher demand for electricity in winter</t>
  </si>
  <si>
    <t>Electricity sold to or displaced from grid</t>
  </si>
  <si>
    <t>Mains Gas</t>
  </si>
  <si>
    <t>LPG</t>
  </si>
  <si>
    <t>Heating Oil</t>
  </si>
  <si>
    <t>kgCO2e/kWh</t>
  </si>
  <si>
    <t>kWh/kWh</t>
  </si>
  <si>
    <t>Heating System Efficiencies</t>
  </si>
  <si>
    <t>Gas boiler efficiency</t>
  </si>
  <si>
    <t>From Part L 2021 (Note C&amp;B use 89% + 3% uplift if used in low temperature system, though as Part L 2021 already assumes low temp the value of 89.5% has been used)</t>
  </si>
  <si>
    <t>Heat Pumps Efficiency:</t>
  </si>
  <si>
    <t>From C&amp;B and depends on year of installation</t>
  </si>
  <si>
    <t>Space heating COP</t>
  </si>
  <si>
    <t>Year of construction</t>
  </si>
  <si>
    <t>Year of development</t>
  </si>
  <si>
    <t>Heat pump space heating COP to use</t>
  </si>
  <si>
    <t>Heat pump hot water efficiency</t>
  </si>
  <si>
    <t>From C&amp;B</t>
  </si>
  <si>
    <t>Notional Building C&amp;B Gas</t>
  </si>
  <si>
    <t>Notional Building C&amp;B ASHP</t>
  </si>
  <si>
    <r>
      <t>35kWh/m</t>
    </r>
    <r>
      <rPr>
        <b/>
        <sz val="6"/>
        <rFont val="ArialMT"/>
      </rPr>
      <t>2</t>
    </r>
    <r>
      <rPr>
        <b/>
        <sz val="9"/>
        <rFont val="ArialMT"/>
      </rPr>
      <t>/yr – Naturalv Ventilation Gas</t>
    </r>
  </si>
  <si>
    <r>
      <t>35kWh/m</t>
    </r>
    <r>
      <rPr>
        <b/>
        <sz val="6"/>
        <rFont val="ArialMT"/>
      </rPr>
      <t>2</t>
    </r>
    <r>
      <rPr>
        <b/>
        <sz val="9"/>
        <rFont val="ArialMT"/>
      </rPr>
      <t>/yr – Natural Ventilation ASHP</t>
    </r>
  </si>
  <si>
    <r>
      <t>35kWh/m</t>
    </r>
    <r>
      <rPr>
        <b/>
        <sz val="6"/>
        <rFont val="ArialMT"/>
      </rPr>
      <t>2/</t>
    </r>
    <r>
      <rPr>
        <b/>
        <sz val="9"/>
        <rFont val="ArialMT"/>
      </rPr>
      <t>yr – Heat Gas
Recovery</t>
    </r>
  </si>
  <si>
    <r>
      <t>35kWh/m</t>
    </r>
    <r>
      <rPr>
        <b/>
        <sz val="6"/>
        <rFont val="ArialMT"/>
      </rPr>
      <t>2/</t>
    </r>
    <r>
      <rPr>
        <b/>
        <sz val="9"/>
        <rFont val="ArialMT"/>
      </rPr>
      <t>yr – Heat ASHP
Recovery</t>
    </r>
  </si>
  <si>
    <r>
      <t>30kWh/m</t>
    </r>
    <r>
      <rPr>
        <b/>
        <sz val="6"/>
        <rFont val="ArialMT"/>
      </rPr>
      <t>2</t>
    </r>
    <r>
      <rPr>
        <b/>
        <sz val="9"/>
        <rFont val="ArialMT"/>
      </rPr>
      <t>/yr</t>
    </r>
    <r>
      <rPr>
        <b/>
        <sz val="11"/>
        <color theme="1"/>
        <rFont val="Calibri"/>
        <family val="2"/>
        <scheme val="minor"/>
      </rPr>
      <t xml:space="preserve"> Gas</t>
    </r>
  </si>
  <si>
    <r>
      <t>30kWh/m</t>
    </r>
    <r>
      <rPr>
        <b/>
        <sz val="6"/>
        <rFont val="ArialMT"/>
      </rPr>
      <t>2</t>
    </r>
    <r>
      <rPr>
        <b/>
        <sz val="9"/>
        <rFont val="ArialMT"/>
      </rPr>
      <t>/yr</t>
    </r>
    <r>
      <rPr>
        <b/>
        <sz val="11"/>
        <color theme="1"/>
        <rFont val="Calibri"/>
        <family val="2"/>
        <scheme val="minor"/>
      </rPr>
      <t xml:space="preserve"> ASHP</t>
    </r>
  </si>
  <si>
    <r>
      <t>25kWh/m</t>
    </r>
    <r>
      <rPr>
        <b/>
        <sz val="6"/>
        <rFont val="ArialMT"/>
      </rPr>
      <t>2</t>
    </r>
    <r>
      <rPr>
        <b/>
        <sz val="9"/>
        <rFont val="ArialMT"/>
      </rPr>
      <t>/yr</t>
    </r>
    <r>
      <rPr>
        <b/>
        <sz val="11"/>
        <color theme="1"/>
        <rFont val="Calibri"/>
        <family val="2"/>
        <scheme val="minor"/>
      </rPr>
      <t xml:space="preserve"> Gas</t>
    </r>
  </si>
  <si>
    <r>
      <t>25kWh/m</t>
    </r>
    <r>
      <rPr>
        <b/>
        <sz val="6"/>
        <rFont val="ArialMT"/>
      </rPr>
      <t>2</t>
    </r>
    <r>
      <rPr>
        <b/>
        <sz val="9"/>
        <rFont val="ArialMT"/>
      </rPr>
      <t>/yr</t>
    </r>
    <r>
      <rPr>
        <b/>
        <sz val="11"/>
        <color theme="1"/>
        <rFont val="Calibri"/>
        <family val="2"/>
        <scheme val="minor"/>
      </rPr>
      <t xml:space="preserve"> ASHP</t>
    </r>
  </si>
  <si>
    <r>
      <t>20kWh/m</t>
    </r>
    <r>
      <rPr>
        <b/>
        <sz val="6"/>
        <rFont val="ArialMT"/>
      </rPr>
      <t>2</t>
    </r>
    <r>
      <rPr>
        <b/>
        <sz val="9"/>
        <rFont val="ArialMT"/>
      </rPr>
      <t>/yr</t>
    </r>
    <r>
      <rPr>
        <b/>
        <sz val="11"/>
        <color theme="1"/>
        <rFont val="Calibri"/>
        <family val="2"/>
        <scheme val="minor"/>
      </rPr>
      <t xml:space="preserve"> Gas</t>
    </r>
  </si>
  <si>
    <r>
      <t>20kWh/m</t>
    </r>
    <r>
      <rPr>
        <b/>
        <sz val="6"/>
        <rFont val="ArialMT"/>
      </rPr>
      <t>2</t>
    </r>
    <r>
      <rPr>
        <b/>
        <sz val="9"/>
        <rFont val="ArialMT"/>
      </rPr>
      <t>/yr</t>
    </r>
    <r>
      <rPr>
        <b/>
        <sz val="11"/>
        <color theme="1"/>
        <rFont val="Calibri"/>
        <family val="2"/>
        <scheme val="minor"/>
      </rPr>
      <t xml:space="preserve"> ASHP</t>
    </r>
  </si>
  <si>
    <r>
      <t>15kWh/m</t>
    </r>
    <r>
      <rPr>
        <b/>
        <sz val="6"/>
        <rFont val="ArialMT"/>
      </rPr>
      <t>2</t>
    </r>
    <r>
      <rPr>
        <b/>
        <sz val="9"/>
        <rFont val="ArialMT"/>
      </rPr>
      <t>/yr</t>
    </r>
    <r>
      <rPr>
        <b/>
        <sz val="11"/>
        <color theme="1"/>
        <rFont val="Calibri"/>
        <family val="2"/>
        <scheme val="minor"/>
      </rPr>
      <t xml:space="preserve"> Gas</t>
    </r>
  </si>
  <si>
    <t>Part L gas emissions</t>
  </si>
  <si>
    <t>Part L total emissions</t>
  </si>
  <si>
    <t>kWh/m2.year</t>
  </si>
  <si>
    <t>kgCO2/m2.year</t>
  </si>
  <si>
    <t>Electricity production from PV</t>
  </si>
  <si>
    <t>Part L electricity consumption emissions</t>
  </si>
  <si>
    <t>Part L electricity displaced/exported emissions</t>
  </si>
  <si>
    <t>Development Description</t>
  </si>
  <si>
    <t>Total number of dwellings</t>
  </si>
  <si>
    <t>% as detached</t>
  </si>
  <si>
    <t>% as attached</t>
  </si>
  <si>
    <t>Operational Standards</t>
  </si>
  <si>
    <t>Embodied Carbon</t>
  </si>
  <si>
    <t>Note: The calculations consider regulated emissions only, and not undergulated or in-use performance issues.</t>
  </si>
  <si>
    <t>Note: The analysis is based on a number of housing archetypes with fixed geometry and façade design. It may be possible to improve (or perform worse than!) on the calculated values by optimising form, orientation and façade design.</t>
  </si>
  <si>
    <t>OUTPUT Sheet</t>
  </si>
  <si>
    <t>Auxiliary Energy</t>
  </si>
  <si>
    <t>From Table 4f (and 4g and 4h) of SAP 10.2 (p.169 of pdf)</t>
  </si>
  <si>
    <t>PV</t>
  </si>
  <si>
    <t>BEIS 2018 Updated Energy &amp; Emissions Projections: Annex M</t>
  </si>
  <si>
    <t>Assumes Reference Scenario: Based on central estimates of economic growth and fossil fuel prices. Contains all agreed policies where decisions on policy design are sufficiently advanced to allow robust estimates of impact (i.e. including "planned" policies). See annex D on policy savings for definitions on policy implementation statuses.</t>
  </si>
  <si>
    <t>£/tonne of CO2 (2018 prices) Electricity supply sector</t>
  </si>
  <si>
    <t>Retail price electricity p/kWh</t>
  </si>
  <si>
    <t>Retail price gas p/kWh</t>
  </si>
  <si>
    <t>https://www.leti.london/_files/ugd/252d09_3c7a09c2c0344ca58db190c5e13584bb.pdf</t>
  </si>
  <si>
    <t>Band</t>
  </si>
  <si>
    <t>Upfront (A1-5)</t>
  </si>
  <si>
    <t>Embodied (A1-5, B1-5, C1-4)</t>
  </si>
  <si>
    <t>In-Use and EoL Embodied (B1-4, C1-4)</t>
  </si>
  <si>
    <t>A++</t>
  </si>
  <si>
    <t>A+</t>
  </si>
  <si>
    <t>D</t>
  </si>
  <si>
    <t>F</t>
  </si>
  <si>
    <t>G</t>
  </si>
  <si>
    <t>E</t>
  </si>
  <si>
    <t>Residential Minimum kgCO2e/m2 by band</t>
  </si>
  <si>
    <t>RIBA 2030 build target</t>
  </si>
  <si>
    <t>LETI Design 2020 Target</t>
  </si>
  <si>
    <t>LETI Design 2030 Target</t>
  </si>
  <si>
    <t>LETI Business as Usual (800 kgCO2e/m2 Upfront)</t>
  </si>
  <si>
    <t>Beyond Building Life Cycle (D)</t>
  </si>
  <si>
    <t>LETI target value for 2020, 2030 and "Whole Life Net Zero" scenarios</t>
  </si>
  <si>
    <t>Target embodied carbon standard</t>
  </si>
  <si>
    <t>Value to use:</t>
  </si>
  <si>
    <t>% as 1 bed flat</t>
  </si>
  <si>
    <t>% as 2 bed flat</t>
  </si>
  <si>
    <t>Dwelling Type</t>
  </si>
  <si>
    <t>Attached</t>
  </si>
  <si>
    <t>2 Bed Flat</t>
  </si>
  <si>
    <t>1 Bed Flat</t>
  </si>
  <si>
    <t>Number</t>
  </si>
  <si>
    <t>Total Area</t>
  </si>
  <si>
    <t>Tonnes Embodied Emissions</t>
  </si>
  <si>
    <t>TOTAL</t>
  </si>
  <si>
    <t>From LETI Embodied Carbon Target Alignment</t>
  </si>
  <si>
    <t>From LETI Primer</t>
  </si>
  <si>
    <t>Embodied Carbon Calculations</t>
  </si>
  <si>
    <t>Derivation of Lifetime Split of Benchmark</t>
  </si>
  <si>
    <t>Taken from LETI primer, assumed to be a "typical" building</t>
  </si>
  <si>
    <t>Practial Completion</t>
  </si>
  <si>
    <t>15 years</t>
  </si>
  <si>
    <t>25 years</t>
  </si>
  <si>
    <t>50 years</t>
  </si>
  <si>
    <t>End of life</t>
  </si>
  <si>
    <t>Values read from graph (Excel reader)….only Embodied values read</t>
  </si>
  <si>
    <t>A1-5</t>
  </si>
  <si>
    <t>B1-5</t>
  </si>
  <si>
    <t>C1-4</t>
  </si>
  <si>
    <t>Splits of All Embodied</t>
  </si>
  <si>
    <t>Total B and C</t>
  </si>
  <si>
    <t>Allocation of B and C</t>
  </si>
  <si>
    <t>Waste Water Recycling</t>
  </si>
  <si>
    <t>Standard tariff kWh/kWh</t>
  </si>
  <si>
    <t>Electricity sold to or displaced from grid kWh/kWh</t>
  </si>
  <si>
    <t>Element cost</t>
  </si>
  <si>
    <t>Electricity: Standard Tariff</t>
  </si>
  <si>
    <t>Electricity: Sold to grid</t>
  </si>
  <si>
    <t>Part L Electricity Carbon Intensity Dynamic (Note: Not used in the calculator)</t>
  </si>
  <si>
    <t>Part L Electricity Primary Energy Dynamic  (Note: Not used in the calculator)</t>
  </si>
  <si>
    <t>kWh/year</t>
  </si>
  <si>
    <t>Assumed for all properties</t>
  </si>
  <si>
    <t>Heating System Pump</t>
  </si>
  <si>
    <t>Keep hot facitility combi-boiler</t>
  </si>
  <si>
    <t>Assumes none exists, but where it does has the potential to add 600 kWh/year with time clock, of 900 kWh/year without</t>
  </si>
  <si>
    <t>Ventilation systems:</t>
  </si>
  <si>
    <t>Mechanical extract systems (for Nat Vent dwellings)</t>
  </si>
  <si>
    <t>Balanced whole house ventilation (for MVHR dwellings)</t>
  </si>
  <si>
    <t>SAP assumed ventilation rate</t>
  </si>
  <si>
    <t>For entire dwelling for either extract only (from wet rooms), or full house balanced. Infiltration is additional. (from Para 2.6 SAP)</t>
  </si>
  <si>
    <t>kWh/year/m3</t>
  </si>
  <si>
    <t>Apply this to each dwelling type on basis of volume of dwelling</t>
  </si>
  <si>
    <t>Ducting assumptions</t>
  </si>
  <si>
    <t>Rigid ducts, and insulated in all cases. Note, for MVHR the efficiency and in-use factor is used to derive the effective ventilation rate (as per Para 2.6 SAP) which affects heat demand; the ventilation rate on which electricity is calculated (with SFP and IUF) is taken to be 0.5 ac/h.</t>
  </si>
  <si>
    <t>Appendix J used to establish demand from showers…</t>
  </si>
  <si>
    <t>Calculated using SAP 10.2 methods</t>
  </si>
  <si>
    <t>Assumed number of showers and baths by architype (estimated)</t>
  </si>
  <si>
    <t>Architype</t>
  </si>
  <si>
    <t>1 bed flat</t>
  </si>
  <si>
    <t>2 bed flat</t>
  </si>
  <si>
    <t>Baths</t>
  </si>
  <si>
    <t>Assumed shower flow rate</t>
  </si>
  <si>
    <t>litres/minute</t>
  </si>
  <si>
    <t>from Table J4 for combi or unvented cylinder</t>
  </si>
  <si>
    <t>Number of showers taken per day formula J1 incorporated into table above…</t>
  </si>
  <si>
    <t>Number of Occupants</t>
  </si>
  <si>
    <t>Nshower (from formula J1)</t>
  </si>
  <si>
    <t>Monthly Calculations…</t>
  </si>
  <si>
    <t>Behaviour Factor (Table J5)</t>
  </si>
  <si>
    <t>Vwarm,I (warm water demand per use, J step 1.d) [litres]</t>
  </si>
  <si>
    <t>Step 1.e (formula J2) modified as assume all showers from 1 of the fittings as only interested in the total not the breakdown, and assume all fittings the same</t>
  </si>
  <si>
    <t>f hot,shower (formula J3)</t>
  </si>
  <si>
    <t>Cold water mains temp T cold,m (Table J1)</t>
  </si>
  <si>
    <t>Vd,warm,I (formula J2) Detached [litres/day]</t>
  </si>
  <si>
    <t>Vd,warm,I (formula J2) Attached [litres/day]</t>
  </si>
  <si>
    <t>Vd,warm,I (formula J2) 1 bed flat [litres/day]</t>
  </si>
  <si>
    <t>Vd,warm,I (formula J2) 2 bed flat [litres/day]</t>
  </si>
  <si>
    <t>V d,hot,I J step 1.f: Detached [litres/day]</t>
  </si>
  <si>
    <t>V d,hot,I J step 1.f: Attached [litres/day]</t>
  </si>
  <si>
    <t>V d,hot,I J step 1.f: 1 bed flat [litres/day]</t>
  </si>
  <si>
    <t>V d,hot,I J step 1.f: 2 bed flat [litres/day]</t>
  </si>
  <si>
    <t>Total or Average</t>
  </si>
  <si>
    <t>Days in month</t>
  </si>
  <si>
    <t>Vshower,i,m step J 1.i: Detached [litres/month]</t>
  </si>
  <si>
    <t>Vshower,i,m step J 1.i: Attached [litres/month]</t>
  </si>
  <si>
    <t>Vshower,i,m step J 1.i: 1 bed flat [litres/month]</t>
  </si>
  <si>
    <t>Vshower,i,m step J 1.i: 2 bed flat [litres/month]</t>
  </si>
  <si>
    <t>Skip straight to step 1.i as working on a total basis…</t>
  </si>
  <si>
    <t>Section G2.2 Calculation Procedure for Instantaneous WWHRS (assumes all systems instantanous rather than storage).</t>
  </si>
  <si>
    <t>Step 1: Obtain performance data from PCDB for each WWRS present. Assume all systems the same. Note PCBD reviewed and typical values for 2 main parameters were selected (based on vertical pipe systems)</t>
  </si>
  <si>
    <t>Efficiency</t>
  </si>
  <si>
    <t>Utilisation factor</t>
  </si>
  <si>
    <t>G2.2 Step 4 Q ww,k,m: Detached [kWh/month]</t>
  </si>
  <si>
    <t>G2.2 Step 4 Q ww,k,m: Attached [kWh/month]</t>
  </si>
  <si>
    <t>G2.2 Step 4 Q ww,k,m: 1 bed flat [kWh/month]</t>
  </si>
  <si>
    <t>G2.2 Step 4 Q ww,k,m: 2 bed flat [kWh/month]</t>
  </si>
  <si>
    <t>Step 6/7 Heat recovered: Detached [kWh/month]</t>
  </si>
  <si>
    <t>Step 6/7 Heat recovered: Attached [kWh/month]</t>
  </si>
  <si>
    <t>Step 6/7 Heat recovered: 1 bed flat [kWh/month]</t>
  </si>
  <si>
    <t>Step 6/7 Heat recovered: 2 bed flat [kWh/month]</t>
  </si>
  <si>
    <t>Annual saving with WWHRS per m2 Detached [kWh/m2.year]</t>
  </si>
  <si>
    <t>Annual saving with WWHRS per m2 Attached [kWh/m2.year]</t>
  </si>
  <si>
    <t>Annual saving with WWHRS per m2 1 bed flat [kWh/m2.year]</t>
  </si>
  <si>
    <t>Annual saving with WWHRS per m2 2 bed flat [kWh/m2.year]</t>
  </si>
  <si>
    <t>New in 2021 impact assessment; C&amp;B report explicitly said these systems were not included so the derived hot water demand results were on the basis of no WWHRS. Cost assumed per shower.</t>
  </si>
  <si>
    <t>Note: PCDB did not include any electricity for pumps (Section G.3) so this aspect was not included in these calculations.</t>
  </si>
  <si>
    <t>Building Regulations Minimum Standard</t>
  </si>
  <si>
    <t>Building Regulations Standards</t>
  </si>
  <si>
    <t>Year FHS comes into effect</t>
  </si>
  <si>
    <t>Assumed transitional period</t>
  </si>
  <si>
    <t>Actual year FHS comes into effect</t>
  </si>
  <si>
    <t>Potential Standards</t>
  </si>
  <si>
    <t>List of Fabric Standards</t>
  </si>
  <si>
    <t>35 kWh/m2.year</t>
  </si>
  <si>
    <t>30 kWh/m2.year</t>
  </si>
  <si>
    <t>25 kWh/m2.year</t>
  </si>
  <si>
    <t>20 kWh/m2.year</t>
  </si>
  <si>
    <t>15 kWh/m2.year (Passivhaus)</t>
  </si>
  <si>
    <t>Gas limitations</t>
  </si>
  <si>
    <t>Gas Possible</t>
  </si>
  <si>
    <t>No connection to gas allowed</t>
  </si>
  <si>
    <t>Carbon Standard</t>
  </si>
  <si>
    <t>Meet Part L only</t>
  </si>
  <si>
    <t>Reduce Part L regulated: 10%</t>
  </si>
  <si>
    <t>Reduce Part L regulated: 20%</t>
  </si>
  <si>
    <t>Reduce Part L regulated: 30%</t>
  </si>
  <si>
    <t>Reduce Part L regulated: 40%</t>
  </si>
  <si>
    <t>Reduce Part L regulated: 50%</t>
  </si>
  <si>
    <t>Reduce Part L regulated: Zero carbon</t>
  </si>
  <si>
    <t>Primary Energy Standard</t>
  </si>
  <si>
    <t>Reduce Part L regulated: Net zero</t>
  </si>
  <si>
    <t>Fabric Standard</t>
  </si>
  <si>
    <t>Gas requirement?</t>
  </si>
  <si>
    <t>Carbon standard</t>
  </si>
  <si>
    <t>No specific fabric standard</t>
  </si>
  <si>
    <t>No primary energy requirement</t>
  </si>
  <si>
    <t>Calculation Step</t>
  </si>
  <si>
    <t>Calculated from equation L12 in Appendix L (Steps 1 to 9.d….steps beyond that apportion from annual to monthly for heat gain analysis, not relevant to total energy consumption as needed here)</t>
  </si>
  <si>
    <t>Aw (area of window [m2])</t>
  </si>
  <si>
    <t>g L (from Table 6b) - assumes double glazing (triple is 0.7)</t>
  </si>
  <si>
    <t>FF (from Table 6c) (assumes PVC or wood….metal is 0.8)</t>
  </si>
  <si>
    <t>Z L (light access factor [Table 6d]) - average or unknown overshading</t>
  </si>
  <si>
    <t>G L (Eq. L2a)</t>
  </si>
  <si>
    <t>A B (Eq. 1) (klm·h/yr)</t>
  </si>
  <si>
    <t>Volume (assumes 2 storey houses)</t>
  </si>
  <si>
    <t>G L is always &lt; 0.095 then Equation L2b applies for C daylight</t>
  </si>
  <si>
    <t>C daylight (Eq. L2b)</t>
  </si>
  <si>
    <t>A req (Eq. L3) klm·h/yr</t>
  </si>
  <si>
    <t>CL,ref (Eq. L4) (lm)</t>
  </si>
  <si>
    <t>Future Homes Standard</t>
  </si>
  <si>
    <t>C L,fixed (Eq.L5b) also stated in Part L 2021 notional</t>
  </si>
  <si>
    <t>A  prov (klm.h/yr) (Eq. L6)</t>
  </si>
  <si>
    <t xml:space="preserve">A topup (L7) </t>
  </si>
  <si>
    <t>£fixed ((lm/W) (L8) - taken from Part L 2021 Notional</t>
  </si>
  <si>
    <t>A req &gt; A prov so E l,fixed = A req/£ fixed (9.a) kWh/yr</t>
  </si>
  <si>
    <t>E L topup (L9b) kWh/yr</t>
  </si>
  <si>
    <t>E L,portable (L9c) kWh/yr</t>
  </si>
  <si>
    <t>E L (L9d) kWh/yr</t>
  </si>
  <si>
    <t>All steps up to 9.d p.85/6 of SAP 10.2</t>
  </si>
  <si>
    <t>Note: Out of scope</t>
  </si>
  <si>
    <t>Other Unregulated Energy</t>
  </si>
  <si>
    <t>SAP Appendix L2 - kWh.yr</t>
  </si>
  <si>
    <t>Cooking energy kWh/m2.year</t>
  </si>
  <si>
    <t>Unregulated Electrical energy kWh/m2.year</t>
  </si>
  <si>
    <t>SAP Appendix L3 - kWh.yr</t>
  </si>
  <si>
    <t>little to no shading from Table M1</t>
  </si>
  <si>
    <t>4 South West England W/m2 horizontal (Table U3)</t>
  </si>
  <si>
    <t>Assumed no. storeys in building</t>
  </si>
  <si>
    <t>Assumed Part L 2021 size of array (kW)</t>
  </si>
  <si>
    <t>Assumes SE/SW, no overshading, connected to building (kWp)</t>
  </si>
  <si>
    <t>Assumed fraction generated PV exported</t>
  </si>
  <si>
    <t>Estimate (note: SAP has method to estimate)</t>
  </si>
  <si>
    <t>Part L 2021 generated electricity kWh</t>
  </si>
  <si>
    <t>Part L 2021 generated electricity kWh/m2</t>
  </si>
  <si>
    <t>Hydrock Standards from Post Hill (Tiverton) Development</t>
  </si>
  <si>
    <t>Assume maximum roof area available results in 80% rather than Part L 2021 40% assumption…</t>
  </si>
  <si>
    <t>Maximum potential generated electricity kWh</t>
  </si>
  <si>
    <t>Maximum potential generated electricity kWh/m2</t>
  </si>
  <si>
    <t>Maximum potential kWp</t>
  </si>
  <si>
    <t>Standard</t>
  </si>
  <si>
    <t>cf. Part L 2021</t>
  </si>
  <si>
    <t>cf. FHS</t>
  </si>
  <si>
    <t>Additional Calculations to Size PV to meet various regulations (size of PV array kWp)</t>
  </si>
  <si>
    <t>Sizing Tables PV for Different Standards and House Types</t>
  </si>
  <si>
    <t>Detached target kgCO2/m2.yr.</t>
  </si>
  <si>
    <t>Attached target kgCO2/m2.yr.</t>
  </si>
  <si>
    <t>1 bed flat target kgCO2/m2.yr.</t>
  </si>
  <si>
    <t>2 bed flat target kgCO2/m2.yr.</t>
  </si>
  <si>
    <t>% reduction Part L</t>
  </si>
  <si>
    <t>Target kgCO2/m2.year</t>
  </si>
  <si>
    <r>
      <t>15kWh/m</t>
    </r>
    <r>
      <rPr>
        <b/>
        <sz val="6"/>
        <rFont val="ArialMT"/>
      </rPr>
      <t>2</t>
    </r>
    <r>
      <rPr>
        <b/>
        <sz val="9"/>
        <rFont val="ArialMT"/>
      </rPr>
      <t>/yr</t>
    </r>
    <r>
      <rPr>
        <b/>
        <sz val="11"/>
        <color theme="1"/>
        <rFont val="Calibri"/>
        <family val="2"/>
        <scheme val="minor"/>
      </rPr>
      <t xml:space="preserve"> ASHP (Passivhaus)</t>
    </r>
  </si>
  <si>
    <t>User Input</t>
  </si>
  <si>
    <t>Optional Bespoke Specification</t>
  </si>
  <si>
    <t>Lookup Values</t>
  </si>
  <si>
    <t>Walls: Exposed W/m2.K</t>
  </si>
  <si>
    <t>Walls: Semi-Exposed W/m2.K</t>
  </si>
  <si>
    <t>Floor W/m2.K</t>
  </si>
  <si>
    <t>Roof W/m2.K</t>
  </si>
  <si>
    <t>Doors W/m2.K</t>
  </si>
  <si>
    <t>Windows W/m2.K</t>
  </si>
  <si>
    <t>Air Permeability m3/h.m2</t>
  </si>
  <si>
    <t>Natural Ventilation</t>
  </si>
  <si>
    <t>Heating System</t>
  </si>
  <si>
    <t>Maximum potential offset GHG kgCO2e/m2</t>
  </si>
  <si>
    <t>Height of buildings with flats</t>
  </si>
  <si>
    <t>Build mix check</t>
  </si>
  <si>
    <t>Note: Options do not include district heating which would need to be assessed on a site by site basis if there is a suitable low carbon heat source nearby</t>
  </si>
  <si>
    <t>£/m2 element</t>
  </si>
  <si>
    <t>Size of element etc.</t>
  </si>
  <si>
    <t>N/A</t>
  </si>
  <si>
    <t>£/m2 floor area</t>
  </si>
  <si>
    <t>Use this value in the analysis</t>
  </si>
  <si>
    <t>£ per dwelling</t>
  </si>
  <si>
    <t>From Part L 2019 Impact Assessment, not C&amp;B</t>
  </si>
  <si>
    <t>Variable costs for systems &lt; 4kWp (£/kWp)</t>
  </si>
  <si>
    <t>Variable costs for systems &gt; 4kWp (£/kWp)</t>
  </si>
  <si>
    <t>Fixed costs for systems &lt; 4kWp (£ per installation)</t>
  </si>
  <si>
    <t>Diff to BR21</t>
  </si>
  <si>
    <t>Diff to FHS</t>
  </si>
  <si>
    <t>Elemental Cost for PV</t>
  </si>
  <si>
    <t>Note: In this model there is no link between MVHR efficeincy and price of MVHR unit.</t>
  </si>
  <si>
    <t>In-Use  Embodied (B1-4) Year 15</t>
  </si>
  <si>
    <t>In-Use  Embodied (B1-4) Year 25</t>
  </si>
  <si>
    <t>In-Use  Embodied (B1-4) Year 50</t>
  </si>
  <si>
    <t>EoL Embodied (C1-4)</t>
  </si>
  <si>
    <t>For Development (tCO2e)</t>
  </si>
  <si>
    <t>Per Property (tCO2e)</t>
  </si>
  <si>
    <t>Heat Loss Calculations (for top table)</t>
  </si>
  <si>
    <t>Summary Table</t>
  </si>
  <si>
    <t>Cost Difference to Part L Scenario</t>
  </si>
  <si>
    <t>Cost Difference to Lowest Cost Scenario of meeting Part L</t>
  </si>
  <si>
    <t>Year No.</t>
  </si>
  <si>
    <t>Year Actual</t>
  </si>
  <si>
    <t>Embodied tCO2e</t>
  </si>
  <si>
    <t xml:space="preserve">Notional Building C&amp;B </t>
  </si>
  <si>
    <t>Method to identify scenario to use:</t>
  </si>
  <si>
    <t>Input Fabric Standard (1=possible, 0=not possible):</t>
  </si>
  <si>
    <t>Gas limitations (1=possible, 0=not possible)</t>
  </si>
  <si>
    <t>Values Selected</t>
  </si>
  <si>
    <t>Scenario Possible? (1=possible, 0=not possible)</t>
  </si>
  <si>
    <t>Part L Requirements</t>
  </si>
  <si>
    <t>Cost uplift cf. cheapest option</t>
  </si>
  <si>
    <t>Filter to remove non-allowable options</t>
  </si>
  <si>
    <t>Lowest cost option to meet reqruirement</t>
  </si>
  <si>
    <t>Part L £/dwelling cost uplift cf. cheapest</t>
  </si>
  <si>
    <t>FHS £/dwelling cost uplift cf. cheapest</t>
  </si>
  <si>
    <t>Output Results</t>
  </si>
  <si>
    <t>Column for selected specification</t>
  </si>
  <si>
    <t>Electricity Consumption kWh/m2</t>
  </si>
  <si>
    <t>Gas Consumption kWh/m2</t>
  </si>
  <si>
    <t>Generated PV Production kWh/m2</t>
  </si>
  <si>
    <t>Required PV capacity kWp</t>
  </si>
  <si>
    <t>Row for PV sizing</t>
  </si>
  <si>
    <t>Cost uplift over cheapest way of meeting current Part L</t>
  </si>
  <si>
    <t>Operational tCO2e</t>
  </si>
  <si>
    <t>Combined tCO2e</t>
  </si>
  <si>
    <t>Per m2</t>
  </si>
  <si>
    <t>Per Dwelling (kWh)</t>
  </si>
  <si>
    <t>For Development (MWh)</t>
  </si>
  <si>
    <t>Emission Factors (kgCO2/kWh or tCO2e/MWh)</t>
  </si>
  <si>
    <t>Part L Fossil Fuel Factors (SAP 10.2)</t>
  </si>
  <si>
    <t>Emission Factors actual projected</t>
  </si>
  <si>
    <t>CCC 6th Carbon Budget Projected Grid Intensity</t>
  </si>
  <si>
    <t>Balanced Pathway (extrapolated from 2050) gCO2e/kWh</t>
  </si>
  <si>
    <t>Gov Conversion Factors Company Reporting 2021 Gas gross cv</t>
  </si>
  <si>
    <t>% of total</t>
  </si>
  <si>
    <t>Part L Operational Emissions: tCO2e Annual</t>
  </si>
  <si>
    <t>Embodied Emissions: tCO2e Annual</t>
  </si>
  <si>
    <t>Combined Emissions: tCO2e Annual</t>
  </si>
  <si>
    <t>Combined Emissions: tCO2e Cumulative</t>
  </si>
  <si>
    <t>Detached: Embodied</t>
  </si>
  <si>
    <t>Attached: Embodied</t>
  </si>
  <si>
    <t>1 Bed Flat: Embodied</t>
  </si>
  <si>
    <t>2 Bed Flat: Embodied</t>
  </si>
  <si>
    <t>Detached: Operational</t>
  </si>
  <si>
    <t>Attached: Operational</t>
  </si>
  <si>
    <t>1 Bed Flat: Operational</t>
  </si>
  <si>
    <t>2 Bed Flat: Operational</t>
  </si>
  <si>
    <t>Embodied Upfront tCO2e</t>
  </si>
  <si>
    <t>Embodied End of Life tCO2e</t>
  </si>
  <si>
    <t>Embodied In-Use tCO2e</t>
  </si>
  <si>
    <t>Operational lifetime tCO2e</t>
  </si>
  <si>
    <t>Total Lifetime tCO2e</t>
  </si>
  <si>
    <t>Lowest cost specification to meet target:</t>
  </si>
  <si>
    <t>Original Values</t>
  </si>
  <si>
    <t>Inflator</t>
  </si>
  <si>
    <t>ATTACHED</t>
  </si>
  <si>
    <t>Additional Calculaction for Gas Use for Future Switch to Heat Pump</t>
  </si>
  <si>
    <t>Gas use for space heating</t>
  </si>
  <si>
    <t>Gas use for hot water</t>
  </si>
  <si>
    <t>TOTAL Gas</t>
  </si>
  <si>
    <t>If Converted to ASHP</t>
  </si>
  <si>
    <t>Point at which gas boilers would switch to ASHP if applicable</t>
  </si>
  <si>
    <t>years</t>
  </si>
  <si>
    <t>Note this is manually done on year 21 of the time series in the output sheets</t>
  </si>
  <si>
    <t>To be used if embodied not used in output</t>
  </si>
  <si>
    <t>Exclude embodied from analysis</t>
  </si>
  <si>
    <t>1 BED FLAT</t>
  </si>
  <si>
    <t>Space Heating Demand from C&amp;B</t>
  </si>
  <si>
    <t>Check to Capture Not Possible Target Standards</t>
  </si>
  <si>
    <t>Assumes all tested options are "Not Possible"</t>
  </si>
  <si>
    <t>Check (zero means not possible)</t>
  </si>
  <si>
    <t>2 BED FLAT</t>
  </si>
  <si>
    <t>Note: Any gas is switched to electricity from here…(Year 21) so formula changes</t>
  </si>
  <si>
    <t>Bespoke</t>
  </si>
  <si>
    <t>Development Additional Cost over Minimum</t>
  </si>
  <si>
    <t>Av. Dwelling Additional Cost over Minimum</t>
  </si>
  <si>
    <t>Discount Rates</t>
  </si>
  <si>
    <t>Min Year</t>
  </si>
  <si>
    <t>Max Year</t>
  </si>
  <si>
    <t>Discount Rate</t>
  </si>
  <si>
    <t>From H M Treasury THE GREEN BOOK CENTRAL GOVERNMENT GUIDANCE ON APPRAISAL AND EVALUATION, 2020</t>
  </si>
  <si>
    <t>Note, year 0 = initial costs</t>
  </si>
  <si>
    <t>Discount rate</t>
  </si>
  <si>
    <t>Discount Factor</t>
  </si>
  <si>
    <t>Electricity: Detached</t>
  </si>
  <si>
    <t>Electricity: Attached</t>
  </si>
  <si>
    <t>Electricity: 1 Bed Flat</t>
  </si>
  <si>
    <t>Electricity: 2 Bed Flat</t>
  </si>
  <si>
    <t>Electricity: TOTAL</t>
  </si>
  <si>
    <t>Gas: Detached</t>
  </si>
  <si>
    <t>Gas: Attached</t>
  </si>
  <si>
    <t>Gas: 1 Bed Flat</t>
  </si>
  <si>
    <t>Gas: 2 Bed Flat</t>
  </si>
  <si>
    <t>Gas: TOTAL</t>
  </si>
  <si>
    <t>GHG EMISSIONS</t>
  </si>
  <si>
    <t>ENERGY CONSUMPTION</t>
  </si>
  <si>
    <t>COSTS</t>
  </si>
  <si>
    <t>Discount Factors</t>
  </si>
  <si>
    <t>Part L Operational Energy Use: MWh Annual</t>
  </si>
  <si>
    <t>Energy Bills Cost Discounted</t>
  </si>
  <si>
    <t>Electricity rate undiscounted p/kWh</t>
  </si>
  <si>
    <t>Gas rate undiscounted p/Wh</t>
  </si>
  <si>
    <t>Cost of carbon undiscounted £/tonne</t>
  </si>
  <si>
    <t>Electricity rate Discounted p/kWh</t>
  </si>
  <si>
    <t>Gas rate Discounted p/Wh</t>
  </si>
  <si>
    <t>Cost of carbon Discounted £/tonne</t>
  </si>
  <si>
    <t>Note: Flatlined from here…</t>
  </si>
  <si>
    <t>Energy Cost: TOTAL</t>
  </si>
  <si>
    <t>Carbon Cost: Detached</t>
  </si>
  <si>
    <t>Carbon Cost: Attached</t>
  </si>
  <si>
    <t>Carbon Cost: 1 Bed Flat</t>
  </si>
  <si>
    <t>Carbon Cost: 2 Bed Flat</t>
  </si>
  <si>
    <t>Carbon Cost: TOTAL</t>
  </si>
  <si>
    <t>Discounted energy cost 30 years</t>
  </si>
  <si>
    <t>Discounted energy cost 60 years</t>
  </si>
  <si>
    <t>Discounted carbon cost 60 years</t>
  </si>
  <si>
    <t>GREENHOUSE GAS EMISSIONS</t>
  </si>
  <si>
    <t>Absolute Emisions</t>
  </si>
  <si>
    <t>% Emissions</t>
  </si>
  <si>
    <t>COST OUTPUTS</t>
  </si>
  <si>
    <t>Electricity Export Values</t>
  </si>
  <si>
    <t>Assumed proportion of PV generated that is self-consumed</t>
  </si>
  <si>
    <t>typical values based on MCS scheme</t>
  </si>
  <si>
    <t>Assumed export price of generated PV</t>
  </si>
  <si>
    <t>p/kWh</t>
  </si>
  <si>
    <t>estimate</t>
  </si>
  <si>
    <t>PV export rate undiscounted p/kWh</t>
  </si>
  <si>
    <t>PV export rate Discounted p/kWh</t>
  </si>
  <si>
    <t>Current big 6 suppliers (Feb 2022): Eon - 5.5p/kWh and 3.0 p/kWh (two tariffs available), SP - 5.5 p/kWH, SSE - 3.5 p/kWh, BG - 3.2 p/kWh, EDF - 1.5 p/kWh</t>
  </si>
  <si>
    <t>MODEL OPTIMISED SPECIFICATION</t>
  </si>
  <si>
    <t>Ventilation strategy</t>
  </si>
  <si>
    <t>Walls: Exposed W/m².K</t>
  </si>
  <si>
    <t>Walls: Semi-exposed W/m².K</t>
  </si>
  <si>
    <t>Floors W/m².K</t>
  </si>
  <si>
    <t>Roof W/m².K</t>
  </si>
  <si>
    <t>Doors  W/m².K</t>
  </si>
  <si>
    <t>Windows W/m².K</t>
  </si>
  <si>
    <t>PV Size kWp</t>
  </si>
  <si>
    <t>Scenario Name</t>
  </si>
  <si>
    <t>Number of Dwellings</t>
  </si>
  <si>
    <t xml:space="preserve">Air Permeability 
</t>
  </si>
  <si>
    <t>LOOKUP LISTS ETC</t>
  </si>
  <si>
    <t>PART L AND SAP VALUES AND CALCULATIONS</t>
  </si>
  <si>
    <t>NON-SAP DATA SOURCES:</t>
  </si>
  <si>
    <t>Split of in-use</t>
  </si>
  <si>
    <t>Carbon Cost Discounted</t>
  </si>
  <si>
    <t>Not used here. Impossible to define.</t>
  </si>
  <si>
    <t>Currie and Brown 2019 Report</t>
  </si>
  <si>
    <t>Not Used:</t>
  </si>
  <si>
    <t>Unregulated Total Energy</t>
  </si>
  <si>
    <t>kWh/yr</t>
  </si>
  <si>
    <t>kWh/m2.yr</t>
  </si>
  <si>
    <t>Go to OUTPUT</t>
  </si>
  <si>
    <t>Go to INPUT</t>
  </si>
  <si>
    <t>Guidance/Instructions</t>
  </si>
  <si>
    <t>Enter the start year of the development. This is used to choose the version of Part L to use, as well as assumptions about building technologies.</t>
  </si>
  <si>
    <t>Enter the total numer of dwellings to be assessed in the scheme.</t>
  </si>
  <si>
    <t>Enter the percentage of the development that is detached. For example, for a 500 dwelling development with 100 detached dwellings, enter 20%.</t>
  </si>
  <si>
    <t>Enter the percentage of the development that is attached. For these purposes attached means a house that is semi-detached or terraced.</t>
  </si>
  <si>
    <t>Enter the percentage of the development that is 1 bed flat. This should be based on number of dwellings rather than buildings, for example a development of 200 dwellings including a building containin 20 x 1 bed flats enter 10%.</t>
  </si>
  <si>
    <t>Enter the percentage of the development that is 2 bed flat. The percentage is worked out in a similar way for 1 bed flats above. If there are any 3 bed flats (or larger), include them here.</t>
  </si>
  <si>
    <t>If there are any flats, enter the average height of buildings containing flats across the development. A  value of between 2 and 6 can be entered.</t>
  </si>
  <si>
    <t>If the four percentage values above do not add up to 100%, then an error will be shown here until this is remedied.</t>
  </si>
  <si>
    <t>This states the version of Part L that will be applied to the development. It assumes a transitional period of 1 year between the implementation of the Future Homes Standard.</t>
  </si>
  <si>
    <t>Enter information to describe the proposed development. All yellow boxes need to be filled in. The orange boxes are optional if "bespoke" was chosen for the "Fabric Standard" input box.</t>
  </si>
  <si>
    <t>To set a minimum fabric performance standard (in kWh/m2 per year) choose from the list here. If no improvements on the minimum requirements are required select "No specific fabric standard" here. In order to specify specific requirements for the fabric or building services, Choose "Bespoke" here and make sure to complete the orange boxes below.</t>
  </si>
  <si>
    <t>This section only needs to be completed IF "Bespoke" has been chosen from the "Fabric Standard" input above.</t>
  </si>
  <si>
    <t>Enter the minimum required U-value for the roofs in the development.</t>
  </si>
  <si>
    <t>Enter the minimum required U-value for the floors in the development.</t>
  </si>
  <si>
    <t>Enter the minimum required U-value for any "exposed" external walls in the development.</t>
  </si>
  <si>
    <t>Enter the minimum required U-value for any "semi-exposed" external walls in the development.</t>
  </si>
  <si>
    <t>Enter the minimum required U-value for the doors in the development.</t>
  </si>
  <si>
    <t>Enter the minimum required U-value for the windows in the development.</t>
  </si>
  <si>
    <t>Enter the minimum air permeability value (m3 per hour per m2 @ 50 Pa) for the development.</t>
  </si>
  <si>
    <t>The development can be set to have either Natural Ventilation (with extract fans in toilets) or full Mechanical Ventilation with Heat Recovery here.</t>
  </si>
  <si>
    <t>If "Natural Ventilation" has been chosen above, enter 0% here. Otherwise set a minimum required mechancial ventilation heat recovery percentage here.</t>
  </si>
  <si>
    <t>The heat source can be specified as either gas (boiler) or Air Source Heat Pump (ASHP here.  It should be noted that if the scheme is brought forward under the Future Homes Standard (assumed from 2026 here) then gas will not be possible.</t>
  </si>
  <si>
    <t>Waste water heat recovery can be included in the bespoke spefication here, if required.</t>
  </si>
  <si>
    <t>Embodied Carbon Benchmarks from LETI</t>
  </si>
  <si>
    <t>Once all the above Inputs have been completed, please go to the Outputs to view the results.</t>
  </si>
  <si>
    <t>Go to COVER</t>
  </si>
  <si>
    <t>Hover over each Result Table Title (red marker) to see guidance on interpreting the results</t>
  </si>
  <si>
    <t>Graph Notes</t>
  </si>
  <si>
    <t>A minimum embodied carbon standard for the development can be specified here from the drop-down list. These are based on the LETI benchmark A to G values shown below. The analysis includes "upfront" (i.e. up to the construction) and "embodied" (i.e. also including lifetime maintenance and disposal). Embodied carbon can be ignored in the analysis by choosing "Exclude embodied from analysis" here. It should be noted that the analysis does NOT include any cost implications for embodied carbon standards, as there is insufficient reference information.</t>
  </si>
  <si>
    <t>It is possible to ban connection to the gas grid within the tool. To do this select "No gas connection allowed" from the drop-down list. It should be noted that if the scheme is brought forward under the Future Homes Standard (assumed from 2026 here) then gas will not be possible.</t>
  </si>
  <si>
    <t>To set a minimum Part L standard (expressed as a % improvement over the minimum requirements) choose from the drop-down list. If no improvements are required select "Meet Part L only". This relates only to "regulated" emissions and does not include emissions associated with e.g. appliances.</t>
  </si>
  <si>
    <t>MDDC ‘Net Zero Housing Assessment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</si>
</sst>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Red]\-&quot;£&quot;#,##0.00"/>
    <numFmt numFmtId="44" formatCode="_-&quot;£&quot;* #,##0.00_-;\-&quot;£&quot;* #,##0.00_-;_-&quot;£&quot;* &quot;-&quot;??_-;_-@_-"/>
    <numFmt numFmtId="164" formatCode="0.0"/>
    <numFmt numFmtId="165" formatCode="0.000"/>
    <numFmt numFmtId="166" formatCode="&quot;£&quot;#,##0.00"/>
    <numFmt numFmtId="167" formatCode="&quot;£&quot;#,##0"/>
    <numFmt numFmtId="168" formatCode="0.0%"/>
    <numFmt numFmtId="169" formatCode="#,##0.0"/>
    <numFmt numFmtId="170" formatCode="_-&quot;£&quot;* #,##0_-;\-&quot;£&quot;* #,##0_-;_-&quot;£&quot;* &quot;-&quot;??_-;_-@_-"/>
  </numFmts>
  <fonts count="27">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theme="1"/>
      <name val="Arial"/>
      <family val="2"/>
    </font>
    <font>
      <u/>
      <sz val="10"/>
      <color theme="10"/>
      <name val="Arial"/>
      <family val="2"/>
    </font>
    <font>
      <sz val="9"/>
      <color indexed="81"/>
      <name val="Tahoma"/>
      <family val="2"/>
    </font>
    <font>
      <sz val="11"/>
      <name val="Calibri"/>
      <family val="2"/>
      <scheme val="minor"/>
    </font>
    <font>
      <b/>
      <sz val="11"/>
      <name val="Calibri"/>
      <family val="2"/>
      <scheme val="minor"/>
    </font>
    <font>
      <sz val="9"/>
      <name val="ArialMT"/>
    </font>
    <font>
      <sz val="6"/>
      <name val="ArialMT"/>
    </font>
    <font>
      <sz val="10"/>
      <name val="ArialMT"/>
    </font>
    <font>
      <b/>
      <i/>
      <sz val="11"/>
      <color theme="1"/>
      <name val="Calibri"/>
      <family val="2"/>
      <scheme val="minor"/>
    </font>
    <font>
      <i/>
      <sz val="11"/>
      <color theme="1"/>
      <name val="Calibri"/>
      <family val="2"/>
      <scheme val="minor"/>
    </font>
    <font>
      <b/>
      <sz val="9"/>
      <name val="ArialMT"/>
    </font>
    <font>
      <b/>
      <i/>
      <sz val="9"/>
      <name val="ArialMT"/>
    </font>
    <font>
      <b/>
      <sz val="6"/>
      <name val="ArialMT"/>
    </font>
    <font>
      <b/>
      <sz val="11"/>
      <color rgb="FFFF0000"/>
      <name val="Calibri"/>
      <family val="2"/>
      <scheme val="minor"/>
    </font>
    <font>
      <b/>
      <i/>
      <sz val="11"/>
      <color theme="2" tint="-0.249977111117893"/>
      <name val="Calibri"/>
      <family val="2"/>
      <scheme val="minor"/>
    </font>
    <font>
      <b/>
      <sz val="11"/>
      <color theme="2" tint="-0.249977111117893"/>
      <name val="Calibri"/>
      <family val="2"/>
      <scheme val="minor"/>
    </font>
    <font>
      <sz val="11"/>
      <color theme="2" tint="-0.249977111117893"/>
      <name val="Calibri"/>
      <family val="2"/>
      <scheme val="minor"/>
    </font>
    <font>
      <b/>
      <i/>
      <sz val="11"/>
      <color rgb="FFFF0000"/>
      <name val="Calibri"/>
      <family val="2"/>
      <scheme val="minor"/>
    </font>
    <font>
      <b/>
      <sz val="22"/>
      <color theme="1"/>
      <name val="Calibri"/>
      <family val="2"/>
      <scheme val="minor"/>
    </font>
    <font>
      <b/>
      <sz val="9"/>
      <color indexed="81"/>
      <name val="Tahoma"/>
      <family val="2"/>
    </font>
    <font>
      <b/>
      <i/>
      <sz val="9"/>
      <color indexed="81"/>
      <name val="Tahoma"/>
      <family val="2"/>
    </font>
  </fonts>
  <fills count="11">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rgb="FFFFC000"/>
        <bgColor indexed="64"/>
      </patternFill>
    </fill>
    <fill>
      <patternFill patternType="solid">
        <fgColor rgb="FF92D05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xf numFmtId="0" fontId="7" fillId="0" borderId="0" applyNumberFormat="0" applyFill="0" applyBorder="0" applyAlignment="0" applyProtection="0">
      <alignment vertical="top"/>
      <protection locked="0"/>
    </xf>
  </cellStyleXfs>
  <cellXfs count="220">
    <xf numFmtId="0" fontId="0" fillId="0" borderId="0" xfId="0"/>
    <xf numFmtId="0" fontId="3" fillId="0" borderId="0" xfId="0" applyFont="1"/>
    <xf numFmtId="0" fontId="4" fillId="0" borderId="0" xfId="0" applyFont="1"/>
    <xf numFmtId="0" fontId="0" fillId="0" borderId="0" xfId="0" applyAlignment="1">
      <alignment wrapText="1"/>
    </xf>
    <xf numFmtId="0" fontId="0" fillId="0" borderId="0" xfId="0" applyAlignment="1"/>
    <xf numFmtId="0" fontId="3" fillId="0" borderId="0" xfId="0" applyFont="1" applyAlignment="1">
      <alignment horizontal="center" wrapText="1"/>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center"/>
    </xf>
    <xf numFmtId="9" fontId="0" fillId="0" borderId="0" xfId="1" applyFont="1" applyAlignment="1">
      <alignment horizontal="center"/>
    </xf>
    <xf numFmtId="0" fontId="3" fillId="0" borderId="0" xfId="0" applyFont="1" applyAlignment="1">
      <alignment horizontal="center"/>
    </xf>
    <xf numFmtId="0" fontId="0" fillId="0" borderId="0" xfId="0" applyAlignment="1">
      <alignment horizontal="left"/>
    </xf>
    <xf numFmtId="0" fontId="5" fillId="0" borderId="0" xfId="2"/>
    <xf numFmtId="0" fontId="9" fillId="0" borderId="1" xfId="0" applyFont="1" applyBorder="1" applyAlignment="1">
      <alignment horizontal="center" wrapText="1"/>
    </xf>
    <xf numFmtId="1" fontId="0" fillId="0" borderId="0" xfId="0" applyNumberFormat="1"/>
    <xf numFmtId="0" fontId="10" fillId="0" borderId="0" xfId="0" applyFont="1" applyAlignment="1">
      <alignment horizontal="left"/>
    </xf>
    <xf numFmtId="0" fontId="9" fillId="0" borderId="0" xfId="0" applyFont="1" applyAlignment="1">
      <alignment horizontal="center"/>
    </xf>
    <xf numFmtId="0" fontId="9" fillId="0" borderId="0" xfId="0" applyFont="1"/>
    <xf numFmtId="0" fontId="9" fillId="0" borderId="1" xfId="0" applyFont="1" applyBorder="1" applyAlignment="1">
      <alignment horizontal="left" wrapText="1"/>
    </xf>
    <xf numFmtId="0" fontId="9" fillId="0" borderId="0" xfId="0" applyFont="1" applyAlignment="1">
      <alignment horizontal="center" wrapText="1"/>
    </xf>
    <xf numFmtId="0" fontId="9" fillId="0" borderId="0" xfId="0" applyFont="1" applyAlignment="1">
      <alignment wrapText="1"/>
    </xf>
    <xf numFmtId="0" fontId="9" fillId="0" borderId="1" xfId="0" applyFont="1" applyBorder="1" applyAlignment="1">
      <alignment horizontal="left"/>
    </xf>
    <xf numFmtId="0" fontId="9" fillId="0" borderId="1" xfId="0" applyFont="1" applyBorder="1" applyAlignment="1">
      <alignment horizontal="center"/>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3" fontId="11" fillId="0" borderId="1" xfId="0" applyNumberFormat="1" applyFont="1" applyBorder="1" applyAlignment="1">
      <alignment horizontal="center" vertical="center" wrapText="1"/>
    </xf>
    <xf numFmtId="9" fontId="11" fillId="0" borderId="1" xfId="0" applyNumberFormat="1" applyFont="1" applyBorder="1" applyAlignment="1">
      <alignment horizontal="center" vertical="center" wrapText="1"/>
    </xf>
    <xf numFmtId="0" fontId="9" fillId="0" borderId="0" xfId="0" applyFont="1" applyAlignment="1">
      <alignment horizontal="left"/>
    </xf>
    <xf numFmtId="0" fontId="11" fillId="0" borderId="2" xfId="0" applyFont="1" applyBorder="1" applyAlignment="1">
      <alignment horizontal="center" vertical="center" wrapText="1"/>
    </xf>
    <xf numFmtId="0" fontId="13" fillId="0" borderId="1" xfId="0" applyFont="1" applyBorder="1" applyAlignment="1">
      <alignment horizontal="left" vertical="center" wrapText="1"/>
    </xf>
    <xf numFmtId="166" fontId="9" fillId="0" borderId="0" xfId="0" applyNumberFormat="1" applyFont="1" applyAlignment="1">
      <alignment horizontal="center"/>
    </xf>
    <xf numFmtId="167" fontId="9" fillId="0" borderId="0" xfId="0" applyNumberFormat="1" applyFont="1" applyAlignment="1">
      <alignment horizontal="center"/>
    </xf>
    <xf numFmtId="167" fontId="9" fillId="0" borderId="0" xfId="0" applyNumberFormat="1" applyFont="1"/>
    <xf numFmtId="8" fontId="11" fillId="0" borderId="1" xfId="0" applyNumberFormat="1" applyFont="1" applyBorder="1" applyAlignment="1">
      <alignment horizontal="center" vertical="center" wrapText="1"/>
    </xf>
    <xf numFmtId="0" fontId="11" fillId="0" borderId="1" xfId="0" applyFont="1" applyBorder="1" applyAlignment="1">
      <alignment vertical="center" wrapText="1"/>
    </xf>
    <xf numFmtId="0" fontId="10" fillId="0" borderId="1" xfId="0" applyFont="1" applyBorder="1" applyAlignment="1">
      <alignment horizontal="left"/>
    </xf>
    <xf numFmtId="0" fontId="10" fillId="0" borderId="1" xfId="0" applyFont="1" applyBorder="1" applyAlignment="1">
      <alignment horizontal="center"/>
    </xf>
    <xf numFmtId="9" fontId="9" fillId="0" borderId="1" xfId="0" applyNumberFormat="1" applyFont="1" applyBorder="1" applyAlignment="1">
      <alignment horizontal="center"/>
    </xf>
    <xf numFmtId="9" fontId="9" fillId="0" borderId="0" xfId="1" applyFont="1" applyAlignment="1">
      <alignment horizontal="center"/>
    </xf>
    <xf numFmtId="165" fontId="9" fillId="0" borderId="0" xfId="0" applyNumberFormat="1" applyFont="1" applyAlignment="1">
      <alignment horizontal="center"/>
    </xf>
    <xf numFmtId="2" fontId="0" fillId="0" borderId="0" xfId="0" applyNumberFormat="1" applyAlignment="1">
      <alignment horizontal="center" wrapText="1"/>
    </xf>
    <xf numFmtId="0" fontId="14" fillId="0" borderId="0" xfId="0" applyFont="1"/>
    <xf numFmtId="164" fontId="0" fillId="0" borderId="0" xfId="0" applyNumberFormat="1" applyAlignment="1">
      <alignment horizontal="center" wrapText="1"/>
    </xf>
    <xf numFmtId="2" fontId="0" fillId="0" borderId="0" xfId="0" applyNumberFormat="1" applyAlignment="1">
      <alignment horizontal="center"/>
    </xf>
    <xf numFmtId="9" fontId="0" fillId="0" borderId="0" xfId="0" applyNumberFormat="1" applyAlignment="1">
      <alignment horizontal="center"/>
    </xf>
    <xf numFmtId="9" fontId="15" fillId="0" borderId="0" xfId="1" applyFont="1" applyAlignment="1">
      <alignment horizontal="center"/>
    </xf>
    <xf numFmtId="168" fontId="0" fillId="0" borderId="0" xfId="1" applyNumberFormat="1" applyFont="1" applyAlignment="1">
      <alignment horizontal="center"/>
    </xf>
    <xf numFmtId="0" fontId="11" fillId="2" borderId="1" xfId="0" applyFont="1" applyFill="1" applyBorder="1" applyAlignment="1">
      <alignment horizontal="center" vertical="center" wrapText="1"/>
    </xf>
    <xf numFmtId="0" fontId="0" fillId="2" borderId="0" xfId="0" applyFill="1"/>
    <xf numFmtId="0" fontId="17" fillId="0" borderId="1" xfId="0" applyFont="1" applyBorder="1" applyAlignment="1">
      <alignment horizontal="left" vertical="center" wrapText="1"/>
    </xf>
    <xf numFmtId="0" fontId="0" fillId="0" borderId="0" xfId="0" applyAlignment="1">
      <alignment horizontal="center" wrapText="1"/>
    </xf>
    <xf numFmtId="0" fontId="3" fillId="0" borderId="0" xfId="0" applyFont="1" applyAlignment="1">
      <alignment horizontal="left"/>
    </xf>
    <xf numFmtId="0" fontId="0" fillId="4" borderId="1" xfId="0" applyFill="1" applyBorder="1" applyAlignment="1">
      <alignment horizontal="center" wrapText="1"/>
    </xf>
    <xf numFmtId="0" fontId="0" fillId="3" borderId="1" xfId="0" applyFill="1" applyBorder="1" applyAlignment="1">
      <alignment horizontal="center" wrapText="1"/>
    </xf>
    <xf numFmtId="0" fontId="0" fillId="5" borderId="1" xfId="0" applyFill="1" applyBorder="1" applyAlignment="1">
      <alignment horizontal="center" wrapText="1"/>
    </xf>
    <xf numFmtId="0" fontId="0" fillId="6" borderId="1" xfId="0" applyFill="1" applyBorder="1" applyAlignment="1">
      <alignment horizontal="center" wrapText="1"/>
    </xf>
    <xf numFmtId="0" fontId="3" fillId="0" borderId="1" xfId="0" applyFont="1" applyBorder="1"/>
    <xf numFmtId="0" fontId="3" fillId="0" borderId="1" xfId="0" applyFont="1" applyBorder="1" applyAlignment="1">
      <alignment horizontal="center"/>
    </xf>
    <xf numFmtId="0" fontId="3" fillId="0" borderId="1" xfId="0" applyFont="1" applyBorder="1" applyAlignment="1">
      <alignment horizontal="center" wrapText="1"/>
    </xf>
    <xf numFmtId="0" fontId="0" fillId="0" borderId="1" xfId="0" applyBorder="1"/>
    <xf numFmtId="0" fontId="0" fillId="0" borderId="1" xfId="0" applyBorder="1" applyAlignment="1">
      <alignment horizontal="center"/>
    </xf>
    <xf numFmtId="0" fontId="0" fillId="0" borderId="1" xfId="0" applyBorder="1" applyAlignment="1">
      <alignment horizontal="center" wrapText="1"/>
    </xf>
    <xf numFmtId="164" fontId="0" fillId="4" borderId="1" xfId="0" applyNumberFormat="1" applyFill="1" applyBorder="1" applyAlignment="1">
      <alignment horizontal="center" wrapText="1"/>
    </xf>
    <xf numFmtId="0" fontId="0" fillId="0" borderId="0" xfId="0" applyAlignment="1">
      <alignment horizontal="right"/>
    </xf>
    <xf numFmtId="0" fontId="0" fillId="0" borderId="0" xfId="0" applyAlignment="1">
      <alignment horizontal="center"/>
    </xf>
    <xf numFmtId="0" fontId="0" fillId="0" borderId="0" xfId="0" applyAlignment="1">
      <alignment horizontal="center"/>
    </xf>
    <xf numFmtId="165" fontId="0" fillId="0" borderId="0" xfId="0" applyNumberFormat="1" applyAlignment="1">
      <alignment horizontal="center"/>
    </xf>
    <xf numFmtId="9" fontId="0" fillId="3" borderId="1" xfId="0" applyNumberFormat="1" applyFill="1" applyBorder="1" applyAlignment="1">
      <alignment horizontal="center" wrapText="1"/>
    </xf>
    <xf numFmtId="9" fontId="0" fillId="4" borderId="1" xfId="0" applyNumberFormat="1" applyFill="1" applyBorder="1" applyAlignment="1">
      <alignment horizontal="center" wrapText="1"/>
    </xf>
    <xf numFmtId="2" fontId="0" fillId="6" borderId="1" xfId="0" applyNumberFormat="1" applyFill="1" applyBorder="1" applyAlignment="1">
      <alignment horizontal="center" wrapText="1"/>
    </xf>
    <xf numFmtId="168" fontId="0" fillId="0" borderId="0" xfId="0" applyNumberFormat="1" applyAlignment="1">
      <alignment horizontal="center"/>
    </xf>
    <xf numFmtId="0" fontId="0" fillId="0" borderId="0" xfId="0" applyFont="1"/>
    <xf numFmtId="168" fontId="0" fillId="3" borderId="1" xfId="1" applyNumberFormat="1" applyFont="1" applyFill="1" applyBorder="1" applyAlignment="1">
      <alignment horizontal="center" wrapText="1"/>
    </xf>
    <xf numFmtId="164" fontId="0" fillId="6" borderId="1" xfId="0" applyNumberFormat="1" applyFill="1" applyBorder="1" applyAlignment="1">
      <alignment horizontal="center" wrapText="1"/>
    </xf>
    <xf numFmtId="164" fontId="0" fillId="5" borderId="1" xfId="0" applyNumberFormat="1" applyFill="1" applyBorder="1" applyAlignment="1">
      <alignment horizontal="center" wrapText="1"/>
    </xf>
    <xf numFmtId="0" fontId="19" fillId="0" borderId="0" xfId="0" applyFont="1"/>
    <xf numFmtId="0" fontId="0" fillId="0" borderId="0" xfId="0" applyFont="1" applyFill="1" applyBorder="1"/>
    <xf numFmtId="0" fontId="0" fillId="0" borderId="0" xfId="0" applyAlignment="1">
      <alignment horizontal="center"/>
    </xf>
    <xf numFmtId="4" fontId="0" fillId="0" borderId="0" xfId="0" applyNumberFormat="1" applyAlignment="1">
      <alignment horizontal="center" vertical="center"/>
    </xf>
    <xf numFmtId="169" fontId="0" fillId="0" borderId="0" xfId="0" applyNumberFormat="1" applyAlignment="1">
      <alignment horizontal="center" vertical="center"/>
    </xf>
    <xf numFmtId="164" fontId="0" fillId="0" borderId="0" xfId="0" applyNumberFormat="1" applyAlignment="1">
      <alignment horizontal="center" vertical="center"/>
    </xf>
    <xf numFmtId="0" fontId="3" fillId="0" borderId="0" xfId="0" applyFont="1" applyAlignment="1">
      <alignment horizontal="center" vertical="center"/>
    </xf>
    <xf numFmtId="1" fontId="0" fillId="0" borderId="1" xfId="0" applyNumberFormat="1" applyBorder="1" applyAlignment="1">
      <alignment horizontal="center"/>
    </xf>
    <xf numFmtId="0" fontId="20" fillId="7" borderId="0" xfId="0" applyFont="1" applyFill="1"/>
    <xf numFmtId="0" fontId="21" fillId="7" borderId="0" xfId="0" applyFont="1" applyFill="1"/>
    <xf numFmtId="0" fontId="22" fillId="7" borderId="0" xfId="0" applyFont="1" applyFill="1"/>
    <xf numFmtId="0" fontId="21" fillId="7" borderId="0" xfId="0" applyFont="1" applyFill="1" applyAlignment="1">
      <alignment horizontal="center"/>
    </xf>
    <xf numFmtId="0" fontId="22" fillId="7" borderId="0" xfId="0" applyFont="1" applyFill="1" applyAlignment="1">
      <alignment horizontal="center"/>
    </xf>
    <xf numFmtId="164" fontId="22" fillId="7" borderId="0" xfId="0" applyNumberFormat="1" applyFont="1" applyFill="1" applyAlignment="1">
      <alignment horizontal="center"/>
    </xf>
    <xf numFmtId="9" fontId="22" fillId="7" borderId="0" xfId="1" applyFont="1" applyFill="1" applyAlignment="1">
      <alignment horizontal="center"/>
    </xf>
    <xf numFmtId="1" fontId="22" fillId="7" borderId="0" xfId="0" applyNumberFormat="1" applyFont="1" applyFill="1" applyAlignment="1">
      <alignment horizontal="center"/>
    </xf>
    <xf numFmtId="165" fontId="22" fillId="7" borderId="0" xfId="0" applyNumberFormat="1" applyFont="1" applyFill="1" applyAlignment="1">
      <alignment horizontal="center"/>
    </xf>
    <xf numFmtId="0" fontId="22" fillId="7" borderId="0" xfId="0" applyFont="1" applyFill="1" applyAlignment="1">
      <alignment horizontal="left"/>
    </xf>
    <xf numFmtId="0" fontId="14" fillId="0" borderId="0" xfId="0" applyFont="1" applyAlignment="1">
      <alignment horizontal="left"/>
    </xf>
    <xf numFmtId="0" fontId="0" fillId="0" borderId="0" xfId="0" applyFont="1" applyAlignment="1">
      <alignment horizontal="center"/>
    </xf>
    <xf numFmtId="0" fontId="14" fillId="0" borderId="0" xfId="0" applyFont="1" applyAlignment="1">
      <alignment horizontal="center" wrapText="1"/>
    </xf>
    <xf numFmtId="2" fontId="0" fillId="0" borderId="0" xfId="0" applyNumberFormat="1" applyFont="1" applyAlignment="1">
      <alignment horizontal="center"/>
    </xf>
    <xf numFmtId="9" fontId="0" fillId="0" borderId="0" xfId="0" applyNumberFormat="1"/>
    <xf numFmtId="0" fontId="9" fillId="5" borderId="1" xfId="0" applyFont="1" applyFill="1" applyBorder="1" applyAlignment="1">
      <alignment horizontal="center" wrapText="1"/>
    </xf>
    <xf numFmtId="0" fontId="0" fillId="0" borderId="0" xfId="0" applyAlignment="1">
      <alignment horizontal="center"/>
    </xf>
    <xf numFmtId="0" fontId="0" fillId="0" borderId="0" xfId="0" applyBorder="1"/>
    <xf numFmtId="0" fontId="14" fillId="0" borderId="0" xfId="0" applyFont="1" applyAlignment="1">
      <alignment horizontal="center"/>
    </xf>
    <xf numFmtId="1" fontId="0" fillId="0" borderId="0" xfId="0" applyNumberFormat="1" applyFont="1" applyAlignment="1">
      <alignment horizontal="center"/>
    </xf>
    <xf numFmtId="0" fontId="11" fillId="6" borderId="1" xfId="0" applyFont="1" applyFill="1" applyBorder="1" applyAlignment="1">
      <alignment horizontal="left" vertical="center" wrapText="1"/>
    </xf>
    <xf numFmtId="164" fontId="11" fillId="6"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0" fillId="0" borderId="1" xfId="0" applyBorder="1" applyAlignment="1">
      <alignment horizontal="center"/>
    </xf>
    <xf numFmtId="0" fontId="23" fillId="0" borderId="0" xfId="0" applyFont="1"/>
    <xf numFmtId="0" fontId="11" fillId="5" borderId="1" xfId="0" applyFont="1" applyFill="1" applyBorder="1" applyAlignment="1">
      <alignment horizontal="left" vertical="center" wrapText="1"/>
    </xf>
    <xf numFmtId="0" fontId="11" fillId="5" borderId="1" xfId="0" applyFont="1" applyFill="1" applyBorder="1" applyAlignment="1">
      <alignment horizontal="center" vertical="center" wrapText="1"/>
    </xf>
    <xf numFmtId="0" fontId="0" fillId="0" borderId="1" xfId="0" applyBorder="1" applyAlignment="1">
      <alignment horizontal="center"/>
    </xf>
    <xf numFmtId="0" fontId="14" fillId="0" borderId="1" xfId="0" applyFont="1" applyBorder="1"/>
    <xf numFmtId="0" fontId="0" fillId="0" borderId="1" xfId="0" applyBorder="1" applyAlignment="1">
      <alignment horizontal="left"/>
    </xf>
    <xf numFmtId="0" fontId="0" fillId="0" borderId="1" xfId="0" applyFont="1" applyBorder="1"/>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0" fillId="0" borderId="0" xfId="0" applyAlignment="1">
      <alignment vertical="center"/>
    </xf>
    <xf numFmtId="0" fontId="3" fillId="0" borderId="0" xfId="0" applyFont="1" applyAlignment="1">
      <alignment horizontal="center" vertical="center" wrapText="1"/>
    </xf>
    <xf numFmtId="0" fontId="3" fillId="0" borderId="0" xfId="0" applyFont="1" applyAlignment="1">
      <alignment vertical="center"/>
    </xf>
    <xf numFmtId="0" fontId="3" fillId="0" borderId="0" xfId="0" applyFont="1" applyBorder="1" applyAlignment="1">
      <alignment vertical="center"/>
    </xf>
    <xf numFmtId="1" fontId="0" fillId="0" borderId="0" xfId="0" applyNumberFormat="1" applyBorder="1" applyAlignment="1">
      <alignment horizontal="center"/>
    </xf>
    <xf numFmtId="0" fontId="14" fillId="0" borderId="0" xfId="0" applyFont="1" applyBorder="1"/>
    <xf numFmtId="0" fontId="0" fillId="0" borderId="0" xfId="0" applyFont="1" applyBorder="1"/>
    <xf numFmtId="1" fontId="3" fillId="0" borderId="0" xfId="0" applyNumberFormat="1" applyFont="1" applyBorder="1" applyAlignment="1">
      <alignment horizontal="center" wrapText="1"/>
    </xf>
    <xf numFmtId="164" fontId="0" fillId="0" borderId="0" xfId="0" applyNumberFormat="1" applyBorder="1" applyAlignment="1">
      <alignment horizontal="center"/>
    </xf>
    <xf numFmtId="164" fontId="0" fillId="0" borderId="1" xfId="0" applyNumberFormat="1"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1" xfId="0" applyFont="1" applyBorder="1" applyAlignment="1"/>
    <xf numFmtId="164" fontId="0" fillId="6" borderId="1" xfId="0" applyNumberFormat="1" applyFill="1" applyBorder="1" applyAlignment="1">
      <alignment horizontal="center"/>
    </xf>
    <xf numFmtId="0" fontId="0" fillId="0" borderId="1" xfId="0" applyBorder="1" applyAlignment="1"/>
    <xf numFmtId="0" fontId="14" fillId="0" borderId="1" xfId="0" applyFont="1" applyBorder="1" applyAlignment="1"/>
    <xf numFmtId="0" fontId="0" fillId="8" borderId="1" xfId="0" applyFill="1" applyBorder="1" applyAlignment="1">
      <alignment horizontal="center" wrapText="1"/>
    </xf>
    <xf numFmtId="0" fontId="14" fillId="0" borderId="0" xfId="0" applyFont="1" applyFill="1" applyBorder="1"/>
    <xf numFmtId="0" fontId="0" fillId="0" borderId="0" xfId="0" applyFont="1" applyAlignment="1">
      <alignment horizontal="left"/>
    </xf>
    <xf numFmtId="0" fontId="14" fillId="0" borderId="0" xfId="0" applyFont="1" applyFill="1" applyBorder="1" applyAlignment="1">
      <alignment horizontal="left"/>
    </xf>
    <xf numFmtId="0" fontId="0" fillId="0" borderId="0" xfId="0" applyAlignment="1">
      <alignment horizontal="left" wrapText="1"/>
    </xf>
    <xf numFmtId="0" fontId="3" fillId="0" borderId="1" xfId="0" applyFont="1" applyBorder="1" applyAlignment="1">
      <alignment horizontal="left" vertical="center" wrapText="1"/>
    </xf>
    <xf numFmtId="0" fontId="0" fillId="3" borderId="1" xfId="0" applyFill="1" applyBorder="1" applyAlignment="1">
      <alignment horizontal="center"/>
    </xf>
    <xf numFmtId="0" fontId="0" fillId="4" borderId="1" xfId="0" applyFill="1" applyBorder="1" applyAlignment="1">
      <alignment horizontal="center"/>
    </xf>
    <xf numFmtId="0" fontId="0" fillId="8" borderId="1" xfId="0" applyFill="1" applyBorder="1" applyAlignment="1">
      <alignment horizontal="center"/>
    </xf>
    <xf numFmtId="1" fontId="0" fillId="0" borderId="0" xfId="0" applyNumberFormat="1" applyAlignment="1">
      <alignment horizontal="center" wrapText="1"/>
    </xf>
    <xf numFmtId="0" fontId="3" fillId="0" borderId="1" xfId="0" applyFont="1" applyBorder="1" applyAlignment="1">
      <alignment horizontal="left" vertic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170" fontId="0" fillId="6" borderId="1" xfId="0" applyNumberFormat="1" applyFill="1" applyBorder="1" applyAlignment="1"/>
    <xf numFmtId="0" fontId="14" fillId="0" borderId="0" xfId="0" applyFont="1" applyAlignment="1">
      <alignment horizontal="righ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 xfId="0" applyFont="1" applyBorder="1" applyAlignment="1">
      <alignment vertical="center" wrapText="1"/>
    </xf>
    <xf numFmtId="170" fontId="0" fillId="0" borderId="0" xfId="0" applyNumberFormat="1" applyAlignment="1">
      <alignment horizontal="center" wrapText="1"/>
    </xf>
    <xf numFmtId="170" fontId="0" fillId="0" borderId="0" xfId="0" applyNumberFormat="1" applyAlignment="1">
      <alignment horizontal="center"/>
    </xf>
    <xf numFmtId="0" fontId="0" fillId="0" borderId="0" xfId="0" applyNumberFormat="1" applyAlignment="1">
      <alignment horizontal="center"/>
    </xf>
    <xf numFmtId="44" fontId="0" fillId="0" borderId="0" xfId="0" applyNumberFormat="1" applyAlignment="1">
      <alignment horizontal="center"/>
    </xf>
    <xf numFmtId="165" fontId="0" fillId="0" borderId="0" xfId="0" applyNumberFormat="1" applyFont="1" applyAlignment="1">
      <alignment horizontal="center"/>
    </xf>
    <xf numFmtId="0" fontId="15" fillId="0" borderId="0" xfId="0" applyFont="1" applyFill="1" applyBorder="1"/>
    <xf numFmtId="0" fontId="9" fillId="2" borderId="0" xfId="0" applyNumberFormat="1" applyFont="1" applyFill="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Font="1" applyAlignment="1">
      <alignment horizontal="center" wrapText="1"/>
    </xf>
    <xf numFmtId="0" fontId="0" fillId="0" borderId="0" xfId="0" applyAlignment="1">
      <alignment horizontal="center"/>
    </xf>
    <xf numFmtId="0" fontId="0" fillId="0" borderId="1" xfId="0" applyFill="1" applyBorder="1"/>
    <xf numFmtId="0" fontId="0" fillId="0" borderId="0" xfId="0" applyFill="1" applyBorder="1"/>
    <xf numFmtId="0" fontId="0" fillId="0" borderId="0" xfId="0" applyBorder="1" applyAlignment="1">
      <alignment horizontal="center"/>
    </xf>
    <xf numFmtId="0" fontId="0" fillId="0" borderId="0" xfId="0" applyBorder="1" applyAlignment="1">
      <alignment horizontal="center" wrapText="1"/>
    </xf>
    <xf numFmtId="164" fontId="0" fillId="3" borderId="1" xfId="0" applyNumberFormat="1" applyFill="1" applyBorder="1" applyAlignment="1">
      <alignment horizontal="center" wrapText="1"/>
    </xf>
    <xf numFmtId="0" fontId="2" fillId="0" borderId="0" xfId="0" applyFont="1"/>
    <xf numFmtId="1" fontId="0" fillId="0" borderId="0" xfId="0" applyNumberFormat="1" applyAlignment="1"/>
    <xf numFmtId="9" fontId="15" fillId="0" borderId="0" xfId="1" applyNumberFormat="1" applyFont="1" applyAlignment="1">
      <alignment horizontal="center"/>
    </xf>
    <xf numFmtId="1" fontId="2" fillId="0" borderId="0" xfId="0" applyNumberFormat="1" applyFont="1" applyAlignment="1">
      <alignment horizontal="center"/>
    </xf>
    <xf numFmtId="10" fontId="0" fillId="0" borderId="0" xfId="0" applyNumberFormat="1"/>
    <xf numFmtId="168" fontId="0" fillId="0" borderId="0" xfId="0" applyNumberFormat="1"/>
    <xf numFmtId="169" fontId="0" fillId="0" borderId="0" xfId="0" applyNumberFormat="1" applyAlignment="1">
      <alignment horizontal="center"/>
    </xf>
    <xf numFmtId="169" fontId="2" fillId="0" borderId="0" xfId="0" applyNumberFormat="1" applyFont="1" applyAlignment="1">
      <alignment horizontal="center"/>
    </xf>
    <xf numFmtId="170" fontId="0" fillId="0" borderId="0" xfId="0" applyNumberFormat="1"/>
    <xf numFmtId="0" fontId="0" fillId="0" borderId="0" xfId="0" applyAlignment="1">
      <alignment horizontal="center" vertical="center"/>
    </xf>
    <xf numFmtId="0" fontId="0" fillId="0" borderId="0" xfId="0" applyAlignment="1">
      <alignment horizontal="center" vertical="center" wrapText="1"/>
    </xf>
    <xf numFmtId="0" fontId="14" fillId="0" borderId="0" xfId="0" applyFont="1" applyAlignment="1">
      <alignment vertical="center"/>
    </xf>
    <xf numFmtId="170" fontId="0" fillId="0" borderId="0" xfId="0" applyNumberFormat="1" applyAlignment="1">
      <alignment horizontal="center" vertical="center" wrapText="1"/>
    </xf>
    <xf numFmtId="0" fontId="0" fillId="0" borderId="1" xfId="0" applyFont="1" applyBorder="1" applyAlignment="1">
      <alignment vertical="center"/>
    </xf>
    <xf numFmtId="0" fontId="0" fillId="0" borderId="1" xfId="0" applyFont="1" applyBorder="1" applyAlignment="1">
      <alignment horizontal="center" vertical="center"/>
    </xf>
    <xf numFmtId="0" fontId="0" fillId="0" borderId="1" xfId="0" applyBorder="1" applyAlignment="1">
      <alignment vertical="center"/>
    </xf>
    <xf numFmtId="0" fontId="0" fillId="0" borderId="1" xfId="0" applyBorder="1" applyAlignment="1">
      <alignment vertical="center" wrapText="1"/>
    </xf>
    <xf numFmtId="164" fontId="0" fillId="0" borderId="1" xfId="0" applyNumberFormat="1" applyFont="1" applyBorder="1" applyAlignment="1">
      <alignment horizontal="center" vertical="center"/>
    </xf>
    <xf numFmtId="1" fontId="0" fillId="0" borderId="1" xfId="0" applyNumberFormat="1" applyBorder="1" applyAlignment="1">
      <alignment horizontal="center" vertical="center"/>
    </xf>
    <xf numFmtId="9" fontId="0" fillId="0" borderId="1" xfId="1" applyFont="1" applyBorder="1" applyAlignment="1">
      <alignment horizontal="center" vertical="center"/>
    </xf>
    <xf numFmtId="170" fontId="0" fillId="0" borderId="1" xfId="0" applyNumberFormat="1" applyBorder="1" applyAlignment="1">
      <alignment horizontal="center" vertical="center" wrapText="1"/>
    </xf>
    <xf numFmtId="0" fontId="3" fillId="10" borderId="1" xfId="0" applyFont="1" applyFill="1" applyBorder="1" applyAlignment="1">
      <alignment vertical="center"/>
    </xf>
    <xf numFmtId="0" fontId="3" fillId="10" borderId="1" xfId="0" applyFont="1" applyFill="1" applyBorder="1" applyAlignment="1">
      <alignment horizontal="center" vertical="center"/>
    </xf>
    <xf numFmtId="0" fontId="3" fillId="10" borderId="1" xfId="0" applyFont="1" applyFill="1" applyBorder="1" applyAlignment="1">
      <alignment vertical="center" wrapText="1"/>
    </xf>
    <xf numFmtId="0" fontId="3" fillId="1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3" fillId="0" borderId="0" xfId="0" applyFont="1" applyAlignment="1"/>
    <xf numFmtId="0" fontId="24" fillId="0" borderId="0" xfId="0" applyFont="1"/>
    <xf numFmtId="0" fontId="5" fillId="7" borderId="6" xfId="2" applyFill="1" applyBorder="1" applyAlignment="1">
      <alignment horizontal="center"/>
    </xf>
    <xf numFmtId="0" fontId="15" fillId="0" borderId="0" xfId="0" applyFont="1" applyAlignment="1">
      <alignment vertical="center" wrapText="1"/>
    </xf>
    <xf numFmtId="0" fontId="5" fillId="7" borderId="6" xfId="2" applyFill="1" applyBorder="1" applyAlignment="1">
      <alignment horizontal="center" vertical="center" wrapText="1"/>
    </xf>
    <xf numFmtId="0" fontId="3" fillId="0" borderId="0" xfId="0" applyFont="1" applyAlignment="1">
      <alignment vertical="center" wrapText="1"/>
    </xf>
    <xf numFmtId="0" fontId="0" fillId="2" borderId="1" xfId="0" applyFill="1" applyBorder="1" applyAlignment="1">
      <alignment horizontal="center" vertical="center"/>
    </xf>
    <xf numFmtId="0" fontId="0" fillId="0" borderId="0" xfId="0" applyFont="1" applyAlignment="1">
      <alignment vertical="center" wrapText="1"/>
    </xf>
    <xf numFmtId="9" fontId="0" fillId="2" borderId="1" xfId="1" applyFont="1" applyFill="1" applyBorder="1" applyAlignment="1">
      <alignment horizontal="center" vertical="center"/>
    </xf>
    <xf numFmtId="0" fontId="0" fillId="0" borderId="1" xfId="0" applyBorder="1" applyAlignment="1">
      <alignment horizontal="center" vertical="center"/>
    </xf>
    <xf numFmtId="0" fontId="0" fillId="0" borderId="0" xfId="0" applyFont="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15" fillId="0" borderId="0" xfId="0" applyFont="1" applyFill="1" applyBorder="1" applyAlignment="1">
      <alignment vertical="center"/>
    </xf>
    <xf numFmtId="0" fontId="0" fillId="9" borderId="1" xfId="0" applyFill="1" applyBorder="1" applyAlignment="1">
      <alignment horizontal="center" vertical="center"/>
    </xf>
    <xf numFmtId="9" fontId="0" fillId="9" borderId="1" xfId="0" applyNumberFormat="1" applyFill="1" applyBorder="1" applyAlignment="1">
      <alignment horizontal="center" vertical="center"/>
    </xf>
    <xf numFmtId="0" fontId="15" fillId="0" borderId="0" xfId="0" applyFont="1" applyAlignment="1">
      <alignment vertical="center"/>
    </xf>
    <xf numFmtId="0" fontId="15" fillId="0" borderId="1" xfId="0" applyFont="1" applyBorder="1" applyAlignment="1">
      <alignment vertical="center" wrapText="1"/>
    </xf>
    <xf numFmtId="0" fontId="0" fillId="0" borderId="1" xfId="0" applyFont="1" applyFill="1" applyBorder="1" applyAlignment="1">
      <alignment vertical="center" wrapText="1"/>
    </xf>
    <xf numFmtId="0" fontId="23" fillId="0" borderId="0" xfId="0" applyFont="1" applyAlignment="1">
      <alignment horizontal="left" vertical="center"/>
    </xf>
    <xf numFmtId="0" fontId="15" fillId="0" borderId="0" xfId="0" applyFont="1" applyAlignment="1">
      <alignment horizontal="center"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cellXfs>
  <cellStyles count="5">
    <cellStyle name="Hyperlink" xfId="2" builtinId="8"/>
    <cellStyle name="Hyperlink 13" xfId="4"/>
    <cellStyle name="Normal" xfId="0" builtinId="0"/>
    <cellStyle name="Normal 226" xfId="3"/>
    <cellStyle name="Percent" xfId="1" builtinId="5"/>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'C&amp;B'!$B$359</c:f>
              <c:strCache>
                <c:ptCount val="1"/>
                <c:pt idx="0">
                  <c:v>Triple glazed windows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'C&amp;B'!$C$359:$AJ$359</c:f>
              <c:numCache>
                <c:formatCode>0%</c:formatCode>
                <c:ptCount val="34"/>
                <c:pt idx="0">
                  <c:v>1</c:v>
                </c:pt>
                <c:pt idx="1">
                  <c:v>0.99</c:v>
                </c:pt>
                <c:pt idx="2">
                  <c:v>0.98</c:v>
                </c:pt>
                <c:pt idx="3">
                  <c:v>0.97</c:v>
                </c:pt>
                <c:pt idx="4">
                  <c:v>0.96</c:v>
                </c:pt>
                <c:pt idx="5">
                  <c:v>0.95</c:v>
                </c:pt>
                <c:pt idx="6">
                  <c:v>0.94</c:v>
                </c:pt>
                <c:pt idx="7">
                  <c:v>0.92999999999999994</c:v>
                </c:pt>
                <c:pt idx="8">
                  <c:v>0.91999999999999993</c:v>
                </c:pt>
                <c:pt idx="9">
                  <c:v>0.90999999999999992</c:v>
                </c:pt>
                <c:pt idx="10">
                  <c:v>0.89999999999999991</c:v>
                </c:pt>
                <c:pt idx="11">
                  <c:v>0.8899999999999999</c:v>
                </c:pt>
                <c:pt idx="12">
                  <c:v>0.87999999999999989</c:v>
                </c:pt>
                <c:pt idx="13">
                  <c:v>0.87</c:v>
                </c:pt>
                <c:pt idx="14">
                  <c:v>0.87</c:v>
                </c:pt>
                <c:pt idx="15">
                  <c:v>0.87</c:v>
                </c:pt>
                <c:pt idx="16">
                  <c:v>0.87</c:v>
                </c:pt>
                <c:pt idx="17">
                  <c:v>0.87</c:v>
                </c:pt>
                <c:pt idx="18">
                  <c:v>0.87</c:v>
                </c:pt>
                <c:pt idx="19">
                  <c:v>0.87</c:v>
                </c:pt>
                <c:pt idx="20">
                  <c:v>0.87</c:v>
                </c:pt>
                <c:pt idx="21">
                  <c:v>0.87</c:v>
                </c:pt>
                <c:pt idx="22">
                  <c:v>0.87</c:v>
                </c:pt>
                <c:pt idx="23">
                  <c:v>0.87</c:v>
                </c:pt>
                <c:pt idx="24">
                  <c:v>0.87</c:v>
                </c:pt>
                <c:pt idx="25">
                  <c:v>0.87</c:v>
                </c:pt>
                <c:pt idx="26">
                  <c:v>0.87</c:v>
                </c:pt>
                <c:pt idx="27">
                  <c:v>0.87</c:v>
                </c:pt>
                <c:pt idx="28">
                  <c:v>0.87</c:v>
                </c:pt>
                <c:pt idx="29">
                  <c:v>0.87</c:v>
                </c:pt>
                <c:pt idx="30">
                  <c:v>0.87</c:v>
                </c:pt>
                <c:pt idx="31">
                  <c:v>0.87</c:v>
                </c:pt>
                <c:pt idx="32">
                  <c:v>0.87</c:v>
                </c:pt>
                <c:pt idx="33">
                  <c:v>0.87</c:v>
                </c:pt>
              </c:numCache>
            </c:numRef>
          </c:yVal>
          <c:smooth val="1"/>
          <c:extLst>
            <c:ext xmlns:c16="http://schemas.microsoft.com/office/drawing/2014/chart" uri="{C3380CC4-5D6E-409C-BE32-E72D297353CC}">
              <c16:uniqueId val="{00000000-6525-429E-B3CD-738C87246F6F}"/>
            </c:ext>
          </c:extLst>
        </c:ser>
        <c:ser>
          <c:idx val="1"/>
          <c:order val="1"/>
          <c:tx>
            <c:strRef>
              <c:f>'C&amp;B'!$B$360</c:f>
              <c:strCache>
                <c:ptCount val="1"/>
                <c:pt idx="0">
                  <c:v>Heat Interface Units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'C&amp;B'!$C$360:$AJ$360</c:f>
              <c:numCache>
                <c:formatCode>0%</c:formatCode>
                <c:ptCount val="34"/>
                <c:pt idx="0">
                  <c:v>1</c:v>
                </c:pt>
                <c:pt idx="1">
                  <c:v>0.99545454545454548</c:v>
                </c:pt>
                <c:pt idx="2">
                  <c:v>0.99090909090909096</c:v>
                </c:pt>
                <c:pt idx="3">
                  <c:v>0.98636363636363644</c:v>
                </c:pt>
                <c:pt idx="4">
                  <c:v>0.98181818181818192</c:v>
                </c:pt>
                <c:pt idx="5">
                  <c:v>0.9772727272727274</c:v>
                </c:pt>
                <c:pt idx="6">
                  <c:v>0.97272727272727288</c:v>
                </c:pt>
                <c:pt idx="7">
                  <c:v>0.96818181818181837</c:v>
                </c:pt>
                <c:pt idx="8">
                  <c:v>0.96363636363636385</c:v>
                </c:pt>
                <c:pt idx="9">
                  <c:v>0.95909090909090933</c:v>
                </c:pt>
                <c:pt idx="10">
                  <c:v>0.95454545454545481</c:v>
                </c:pt>
                <c:pt idx="11">
                  <c:v>0.95000000000000029</c:v>
                </c:pt>
                <c:pt idx="12">
                  <c:v>0.94545454545454577</c:v>
                </c:pt>
                <c:pt idx="13">
                  <c:v>0.94090909090909125</c:v>
                </c:pt>
                <c:pt idx="14">
                  <c:v>0.93636363636363673</c:v>
                </c:pt>
                <c:pt idx="15">
                  <c:v>0.93181818181818221</c:v>
                </c:pt>
                <c:pt idx="16">
                  <c:v>0.92727272727272769</c:v>
                </c:pt>
                <c:pt idx="17">
                  <c:v>0.92272727272727317</c:v>
                </c:pt>
                <c:pt idx="18">
                  <c:v>0.91818181818181865</c:v>
                </c:pt>
                <c:pt idx="19">
                  <c:v>0.91363636363636413</c:v>
                </c:pt>
                <c:pt idx="20">
                  <c:v>0.90909090909090962</c:v>
                </c:pt>
                <c:pt idx="21">
                  <c:v>0.9045454545454551</c:v>
                </c:pt>
                <c:pt idx="22">
                  <c:v>0.90000000000000058</c:v>
                </c:pt>
                <c:pt idx="23">
                  <c:v>0.89545454545454606</c:v>
                </c:pt>
                <c:pt idx="24">
                  <c:v>0.89090909090909154</c:v>
                </c:pt>
                <c:pt idx="25">
                  <c:v>0.88636363636363702</c:v>
                </c:pt>
                <c:pt idx="26">
                  <c:v>0.8818181818181825</c:v>
                </c:pt>
                <c:pt idx="27">
                  <c:v>0.87727272727272798</c:v>
                </c:pt>
                <c:pt idx="28">
                  <c:v>0.87272727272727346</c:v>
                </c:pt>
                <c:pt idx="29">
                  <c:v>0.86818181818181894</c:v>
                </c:pt>
                <c:pt idx="30">
                  <c:v>0.86363636363636442</c:v>
                </c:pt>
                <c:pt idx="31">
                  <c:v>0.8590909090909099</c:v>
                </c:pt>
                <c:pt idx="32">
                  <c:v>0.85454545454545539</c:v>
                </c:pt>
                <c:pt idx="33">
                  <c:v>0.85</c:v>
                </c:pt>
              </c:numCache>
            </c:numRef>
          </c:yVal>
          <c:smooth val="1"/>
          <c:extLst>
            <c:ext xmlns:c16="http://schemas.microsoft.com/office/drawing/2014/chart" uri="{C3380CC4-5D6E-409C-BE32-E72D297353CC}">
              <c16:uniqueId val="{00000001-6525-429E-B3CD-738C87246F6F}"/>
            </c:ext>
          </c:extLst>
        </c:ser>
        <c:ser>
          <c:idx val="2"/>
          <c:order val="2"/>
          <c:tx>
            <c:strRef>
              <c:f>'C&amp;B'!$B$361</c:f>
              <c:strCache>
                <c:ptCount val="1"/>
                <c:pt idx="0">
                  <c:v>LED lighting</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'C&amp;B'!$C$361:$AJ$361</c:f>
              <c:numCache>
                <c:formatCode>0%</c:formatCode>
                <c:ptCount val="34"/>
                <c:pt idx="0">
                  <c:v>1</c:v>
                </c:pt>
                <c:pt idx="1">
                  <c:v>0.95</c:v>
                </c:pt>
                <c:pt idx="2">
                  <c:v>0.89999999999999991</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numCache>
            </c:numRef>
          </c:yVal>
          <c:smooth val="1"/>
          <c:extLst>
            <c:ext xmlns:c16="http://schemas.microsoft.com/office/drawing/2014/chart" uri="{C3380CC4-5D6E-409C-BE32-E72D297353CC}">
              <c16:uniqueId val="{00000002-6525-429E-B3CD-738C87246F6F}"/>
            </c:ext>
          </c:extLst>
        </c:ser>
        <c:ser>
          <c:idx val="3"/>
          <c:order val="3"/>
          <c:tx>
            <c:strRef>
              <c:f>'C&amp;B'!$B$362</c:f>
              <c:strCache>
                <c:ptCount val="1"/>
                <c:pt idx="0">
                  <c:v>Battery Storage</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'C&amp;B'!$C$362:$AJ$362</c:f>
              <c:numCache>
                <c:formatCode>0%</c:formatCode>
                <c:ptCount val="34"/>
                <c:pt idx="0">
                  <c:v>1</c:v>
                </c:pt>
                <c:pt idx="1">
                  <c:v>0.92</c:v>
                </c:pt>
                <c:pt idx="2">
                  <c:v>0.85</c:v>
                </c:pt>
                <c:pt idx="3">
                  <c:v>0.8</c:v>
                </c:pt>
                <c:pt idx="4">
                  <c:v>0.76</c:v>
                </c:pt>
                <c:pt idx="5">
                  <c:v>0.72</c:v>
                </c:pt>
                <c:pt idx="6">
                  <c:v>0.69</c:v>
                </c:pt>
                <c:pt idx="7">
                  <c:v>0.67</c:v>
                </c:pt>
                <c:pt idx="8">
                  <c:v>0.65</c:v>
                </c:pt>
                <c:pt idx="9">
                  <c:v>0.63</c:v>
                </c:pt>
                <c:pt idx="10">
                  <c:v>0.61</c:v>
                </c:pt>
                <c:pt idx="11">
                  <c:v>0.59</c:v>
                </c:pt>
                <c:pt idx="12">
                  <c:v>0.56999999999999995</c:v>
                </c:pt>
                <c:pt idx="13">
                  <c:v>0.55000000000000004</c:v>
                </c:pt>
                <c:pt idx="14">
                  <c:v>0.54</c:v>
                </c:pt>
                <c:pt idx="15">
                  <c:v>0.53</c:v>
                </c:pt>
                <c:pt idx="16">
                  <c:v>0.52124999999999999</c:v>
                </c:pt>
                <c:pt idx="17">
                  <c:v>0.51249999999999996</c:v>
                </c:pt>
                <c:pt idx="18">
                  <c:v>0.50374999999999992</c:v>
                </c:pt>
                <c:pt idx="19">
                  <c:v>0.49499999999999994</c:v>
                </c:pt>
                <c:pt idx="20">
                  <c:v>0.48624999999999996</c:v>
                </c:pt>
                <c:pt idx="21">
                  <c:v>0.47749999999999998</c:v>
                </c:pt>
                <c:pt idx="22">
                  <c:v>0.46875</c:v>
                </c:pt>
                <c:pt idx="23">
                  <c:v>0.46</c:v>
                </c:pt>
                <c:pt idx="24">
                  <c:v>0.45600000000000002</c:v>
                </c:pt>
                <c:pt idx="25">
                  <c:v>0.45200000000000001</c:v>
                </c:pt>
                <c:pt idx="26">
                  <c:v>0.44800000000000001</c:v>
                </c:pt>
                <c:pt idx="27">
                  <c:v>0.44400000000000001</c:v>
                </c:pt>
                <c:pt idx="28">
                  <c:v>0.44</c:v>
                </c:pt>
                <c:pt idx="29">
                  <c:v>0.436</c:v>
                </c:pt>
                <c:pt idx="30">
                  <c:v>0.432</c:v>
                </c:pt>
                <c:pt idx="31">
                  <c:v>0.42799999999999999</c:v>
                </c:pt>
                <c:pt idx="32">
                  <c:v>0.42399999999999999</c:v>
                </c:pt>
                <c:pt idx="33">
                  <c:v>0.42</c:v>
                </c:pt>
              </c:numCache>
            </c:numRef>
          </c:yVal>
          <c:smooth val="1"/>
          <c:extLst>
            <c:ext xmlns:c16="http://schemas.microsoft.com/office/drawing/2014/chart" uri="{C3380CC4-5D6E-409C-BE32-E72D297353CC}">
              <c16:uniqueId val="{00000003-6525-429E-B3CD-738C87246F6F}"/>
            </c:ext>
          </c:extLst>
        </c:ser>
        <c:ser>
          <c:idx val="4"/>
          <c:order val="4"/>
          <c:tx>
            <c:strRef>
              <c:f>'C&amp;B'!$B$363</c:f>
              <c:strCache>
                <c:ptCount val="1"/>
                <c:pt idx="0">
                  <c:v>ASHP</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'C&amp;B'!$C$363:$AJ$363</c:f>
              <c:numCache>
                <c:formatCode>0%</c:formatCode>
                <c:ptCount val="34"/>
                <c:pt idx="0">
                  <c:v>1</c:v>
                </c:pt>
                <c:pt idx="1">
                  <c:v>0.99153846153846159</c:v>
                </c:pt>
                <c:pt idx="2">
                  <c:v>0.98307692307692318</c:v>
                </c:pt>
                <c:pt idx="3">
                  <c:v>0.97461538461538477</c:v>
                </c:pt>
                <c:pt idx="4">
                  <c:v>0.96615384615384636</c:v>
                </c:pt>
                <c:pt idx="5">
                  <c:v>0.95769230769230795</c:v>
                </c:pt>
                <c:pt idx="6">
                  <c:v>0.94923076923076954</c:v>
                </c:pt>
                <c:pt idx="7">
                  <c:v>0.94076923076923114</c:v>
                </c:pt>
                <c:pt idx="8">
                  <c:v>0.93230769230769273</c:v>
                </c:pt>
                <c:pt idx="9">
                  <c:v>0.92384615384615432</c:v>
                </c:pt>
                <c:pt idx="10">
                  <c:v>0.91538461538461591</c:v>
                </c:pt>
                <c:pt idx="11">
                  <c:v>0.9069230769230775</c:v>
                </c:pt>
                <c:pt idx="12">
                  <c:v>0.89846153846153909</c:v>
                </c:pt>
                <c:pt idx="13">
                  <c:v>0.89</c:v>
                </c:pt>
                <c:pt idx="14">
                  <c:v>0.88500000000000001</c:v>
                </c:pt>
                <c:pt idx="15">
                  <c:v>0.88</c:v>
                </c:pt>
                <c:pt idx="16">
                  <c:v>0.875</c:v>
                </c:pt>
                <c:pt idx="17">
                  <c:v>0.87</c:v>
                </c:pt>
                <c:pt idx="18">
                  <c:v>0.86499999999999999</c:v>
                </c:pt>
                <c:pt idx="19">
                  <c:v>0.86</c:v>
                </c:pt>
                <c:pt idx="20">
                  <c:v>0.85499999999999998</c:v>
                </c:pt>
                <c:pt idx="21">
                  <c:v>0.85</c:v>
                </c:pt>
                <c:pt idx="22">
                  <c:v>0.84499999999999997</c:v>
                </c:pt>
                <c:pt idx="23">
                  <c:v>0.84</c:v>
                </c:pt>
                <c:pt idx="24">
                  <c:v>0.83699999999999997</c:v>
                </c:pt>
                <c:pt idx="25">
                  <c:v>0.83399999999999996</c:v>
                </c:pt>
                <c:pt idx="26">
                  <c:v>0.83099999999999996</c:v>
                </c:pt>
                <c:pt idx="27">
                  <c:v>0.82799999999999996</c:v>
                </c:pt>
                <c:pt idx="28">
                  <c:v>0.82499999999999996</c:v>
                </c:pt>
                <c:pt idx="29">
                  <c:v>0.82199999999999995</c:v>
                </c:pt>
                <c:pt idx="30">
                  <c:v>0.81899999999999995</c:v>
                </c:pt>
                <c:pt idx="31">
                  <c:v>0.81599999999999995</c:v>
                </c:pt>
                <c:pt idx="32">
                  <c:v>0.81299999999999994</c:v>
                </c:pt>
                <c:pt idx="33">
                  <c:v>0.81</c:v>
                </c:pt>
              </c:numCache>
            </c:numRef>
          </c:yVal>
          <c:smooth val="1"/>
          <c:extLst>
            <c:ext xmlns:c16="http://schemas.microsoft.com/office/drawing/2014/chart" uri="{C3380CC4-5D6E-409C-BE32-E72D297353CC}">
              <c16:uniqueId val="{00000004-6525-429E-B3CD-738C87246F6F}"/>
            </c:ext>
          </c:extLst>
        </c:ser>
        <c:ser>
          <c:idx val="5"/>
          <c:order val="5"/>
          <c:tx>
            <c:strRef>
              <c:f>'C&amp;B'!$B$364</c:f>
              <c:strCache>
                <c:ptCount val="1"/>
                <c:pt idx="0">
                  <c:v>Air tightness and thremal bridging</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'C&amp;B'!$C$364:$AJ$364</c:f>
              <c:numCache>
                <c:formatCode>0%</c:formatCode>
                <c:ptCount val="34"/>
                <c:pt idx="0">
                  <c:v>1</c:v>
                </c:pt>
                <c:pt idx="1">
                  <c:v>1</c:v>
                </c:pt>
                <c:pt idx="2">
                  <c:v>1</c:v>
                </c:pt>
                <c:pt idx="3">
                  <c:v>1</c:v>
                </c:pt>
                <c:pt idx="4">
                  <c:v>0.98199999999999998</c:v>
                </c:pt>
                <c:pt idx="5">
                  <c:v>0.96399999999999997</c:v>
                </c:pt>
                <c:pt idx="6">
                  <c:v>0.94599999999999995</c:v>
                </c:pt>
                <c:pt idx="7">
                  <c:v>0.92799999999999994</c:v>
                </c:pt>
                <c:pt idx="8">
                  <c:v>0.91</c:v>
                </c:pt>
                <c:pt idx="9">
                  <c:v>0.9</c:v>
                </c:pt>
                <c:pt idx="10">
                  <c:v>0.89</c:v>
                </c:pt>
                <c:pt idx="11">
                  <c:v>0.88</c:v>
                </c:pt>
                <c:pt idx="12">
                  <c:v>0.87</c:v>
                </c:pt>
                <c:pt idx="13">
                  <c:v>0.86</c:v>
                </c:pt>
                <c:pt idx="14">
                  <c:v>0.85399999999999998</c:v>
                </c:pt>
                <c:pt idx="15">
                  <c:v>0.84799999999999998</c:v>
                </c:pt>
                <c:pt idx="16">
                  <c:v>0.84199999999999997</c:v>
                </c:pt>
                <c:pt idx="17">
                  <c:v>0.83599999999999997</c:v>
                </c:pt>
                <c:pt idx="18">
                  <c:v>0.83</c:v>
                </c:pt>
                <c:pt idx="19">
                  <c:v>0.82399999999999995</c:v>
                </c:pt>
                <c:pt idx="20">
                  <c:v>0.81799999999999995</c:v>
                </c:pt>
                <c:pt idx="21">
                  <c:v>0.81199999999999994</c:v>
                </c:pt>
                <c:pt idx="22">
                  <c:v>0.80599999999999994</c:v>
                </c:pt>
                <c:pt idx="23">
                  <c:v>0.8</c:v>
                </c:pt>
                <c:pt idx="24">
                  <c:v>0.79800000000000004</c:v>
                </c:pt>
                <c:pt idx="25">
                  <c:v>0.79600000000000004</c:v>
                </c:pt>
                <c:pt idx="26">
                  <c:v>0.79400000000000004</c:v>
                </c:pt>
                <c:pt idx="27">
                  <c:v>0.79200000000000004</c:v>
                </c:pt>
                <c:pt idx="28">
                  <c:v>0.79</c:v>
                </c:pt>
                <c:pt idx="29">
                  <c:v>0.78600000000000003</c:v>
                </c:pt>
                <c:pt idx="30">
                  <c:v>0.78200000000000003</c:v>
                </c:pt>
                <c:pt idx="31">
                  <c:v>0.77800000000000002</c:v>
                </c:pt>
                <c:pt idx="32">
                  <c:v>0.77400000000000002</c:v>
                </c:pt>
                <c:pt idx="33">
                  <c:v>0.77</c:v>
                </c:pt>
              </c:numCache>
            </c:numRef>
          </c:yVal>
          <c:smooth val="1"/>
          <c:extLst>
            <c:ext xmlns:c16="http://schemas.microsoft.com/office/drawing/2014/chart" uri="{C3380CC4-5D6E-409C-BE32-E72D297353CC}">
              <c16:uniqueId val="{00000005-6525-429E-B3CD-738C87246F6F}"/>
            </c:ext>
          </c:extLst>
        </c:ser>
        <c:dLbls>
          <c:showLegendKey val="0"/>
          <c:showVal val="0"/>
          <c:showCatName val="0"/>
          <c:showSerName val="0"/>
          <c:showPercent val="0"/>
          <c:showBubbleSize val="0"/>
        </c:dLbls>
        <c:axId val="47420160"/>
        <c:axId val="47422080"/>
      </c:scatterChart>
      <c:valAx>
        <c:axId val="47420160"/>
        <c:scaling>
          <c:orientation val="minMax"/>
          <c:max val="2050"/>
          <c:min val="2017"/>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22080"/>
        <c:crosses val="autoZero"/>
        <c:crossBetween val="midCat"/>
        <c:majorUnit val="1"/>
      </c:valAx>
      <c:valAx>
        <c:axId val="47422080"/>
        <c:scaling>
          <c:orientation val="minMax"/>
          <c:max val="1"/>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20160"/>
        <c:crosses val="autoZero"/>
        <c:crossBetween val="midCat"/>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Detached!$E$86:$K$86</c:f>
              <c:numCache>
                <c:formatCode>0.0</c:formatCode>
                <c:ptCount val="7"/>
                <c:pt idx="0">
                  <c:v>168.02799999999996</c:v>
                </c:pt>
                <c:pt idx="1">
                  <c:v>126.83899999999998</c:v>
                </c:pt>
                <c:pt idx="2">
                  <c:v>123.7</c:v>
                </c:pt>
                <c:pt idx="3">
                  <c:v>114.121</c:v>
                </c:pt>
                <c:pt idx="4">
                  <c:v>100.499</c:v>
                </c:pt>
                <c:pt idx="5">
                  <c:v>92.762999999999991</c:v>
                </c:pt>
                <c:pt idx="6">
                  <c:v>84.925000000000011</c:v>
                </c:pt>
              </c:numCache>
            </c:numRef>
          </c:xVal>
          <c:yVal>
            <c:numRef>
              <c:f>Detached!$E$87:$K$87</c:f>
              <c:numCache>
                <c:formatCode>General</c:formatCode>
                <c:ptCount val="7"/>
                <c:pt idx="0">
                  <c:v>43.74</c:v>
                </c:pt>
                <c:pt idx="1">
                  <c:v>34.840000000000003</c:v>
                </c:pt>
                <c:pt idx="2">
                  <c:v>34.68</c:v>
                </c:pt>
                <c:pt idx="3">
                  <c:v>29.52</c:v>
                </c:pt>
                <c:pt idx="4">
                  <c:v>24.71</c:v>
                </c:pt>
                <c:pt idx="5">
                  <c:v>19.73</c:v>
                </c:pt>
                <c:pt idx="6">
                  <c:v>14.85</c:v>
                </c:pt>
              </c:numCache>
            </c:numRef>
          </c:yVal>
          <c:smooth val="0"/>
          <c:extLst>
            <c:ext xmlns:c16="http://schemas.microsoft.com/office/drawing/2014/chart" uri="{C3380CC4-5D6E-409C-BE32-E72D297353CC}">
              <c16:uniqueId val="{00000002-D040-4022-82F9-590A646AB1EF}"/>
            </c:ext>
          </c:extLst>
        </c:ser>
        <c:dLbls>
          <c:showLegendKey val="0"/>
          <c:showVal val="0"/>
          <c:showCatName val="0"/>
          <c:showSerName val="0"/>
          <c:showPercent val="0"/>
          <c:showBubbleSize val="0"/>
        </c:dLbls>
        <c:axId val="1963956831"/>
        <c:axId val="1963953503"/>
      </c:scatterChart>
      <c:valAx>
        <c:axId val="1963956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Heat Loss Parameter( W/K)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3503"/>
        <c:crosses val="autoZero"/>
        <c:crossBetween val="midCat"/>
      </c:valAx>
      <c:valAx>
        <c:axId val="19639535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Space Heating Demand (kWh/m2.year)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683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(Attached!$E$86,Attached!$H$86,Attached!$I$86,Attached!$J$86,Attached!$K$86)</c:f>
              <c:numCache>
                <c:formatCode>0.0</c:formatCode>
                <c:ptCount val="5"/>
                <c:pt idx="0">
                  <c:v>111.46100000000001</c:v>
                </c:pt>
                <c:pt idx="1">
                  <c:v>74.903000000000006</c:v>
                </c:pt>
                <c:pt idx="2">
                  <c:v>67.475999999999999</c:v>
                </c:pt>
                <c:pt idx="3">
                  <c:v>64.067999999999998</c:v>
                </c:pt>
                <c:pt idx="4">
                  <c:v>58.783999999999992</c:v>
                </c:pt>
              </c:numCache>
            </c:numRef>
          </c:xVal>
          <c:yVal>
            <c:numRef>
              <c:f>(Attached!$E$87,Attached!$H$87,Attached!$I$87,Attached!$J$87,Attached!$K$87)</c:f>
              <c:numCache>
                <c:formatCode>General</c:formatCode>
                <c:ptCount val="5"/>
                <c:pt idx="0">
                  <c:v>40.159999999999997</c:v>
                </c:pt>
                <c:pt idx="1">
                  <c:v>29.35</c:v>
                </c:pt>
                <c:pt idx="2">
                  <c:v>24.24</c:v>
                </c:pt>
                <c:pt idx="3">
                  <c:v>18.89</c:v>
                </c:pt>
                <c:pt idx="4">
                  <c:v>14.57</c:v>
                </c:pt>
              </c:numCache>
            </c:numRef>
          </c:yVal>
          <c:smooth val="0"/>
          <c:extLst>
            <c:ext xmlns:c16="http://schemas.microsoft.com/office/drawing/2014/chart" uri="{C3380CC4-5D6E-409C-BE32-E72D297353CC}">
              <c16:uniqueId val="{00000003-A6B8-4486-8CF0-2595AD6DD1C6}"/>
            </c:ext>
          </c:extLst>
        </c:ser>
        <c:dLbls>
          <c:showLegendKey val="0"/>
          <c:showVal val="0"/>
          <c:showCatName val="0"/>
          <c:showSerName val="0"/>
          <c:showPercent val="0"/>
          <c:showBubbleSize val="0"/>
        </c:dLbls>
        <c:axId val="1963956831"/>
        <c:axId val="1963953503"/>
      </c:scatterChart>
      <c:valAx>
        <c:axId val="1963956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Heat Loss Parameter( W/K)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3503"/>
        <c:crosses val="autoZero"/>
        <c:crossBetween val="midCat"/>
      </c:valAx>
      <c:valAx>
        <c:axId val="19639535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Space Heating Demand (kWh/m2.year)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683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1"/>
            <c:dispEq val="1"/>
            <c:trendlineLbl>
              <c:numFmt formatCode="#,##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('1BedFlat'!$E$86,'1BedFlat'!$J$86,'1BedFlat'!$K$86)</c:f>
              <c:numCache>
                <c:formatCode>0.0</c:formatCode>
                <c:ptCount val="3"/>
                <c:pt idx="0">
                  <c:v>65.795000000000002</c:v>
                </c:pt>
                <c:pt idx="1">
                  <c:v>60.024999999999999</c:v>
                </c:pt>
                <c:pt idx="2">
                  <c:v>49.673999999999999</c:v>
                </c:pt>
              </c:numCache>
            </c:numRef>
          </c:xVal>
          <c:yVal>
            <c:numRef>
              <c:f>('1BedFlat'!$E$87,'1BedFlat'!$J$87,'1BedFlat'!$K$87)</c:f>
              <c:numCache>
                <c:formatCode>General</c:formatCode>
                <c:ptCount val="3"/>
                <c:pt idx="0">
                  <c:v>27.93</c:v>
                </c:pt>
                <c:pt idx="1">
                  <c:v>19.399999999999999</c:v>
                </c:pt>
                <c:pt idx="2">
                  <c:v>14.7</c:v>
                </c:pt>
              </c:numCache>
            </c:numRef>
          </c:yVal>
          <c:smooth val="0"/>
          <c:extLst>
            <c:ext xmlns:c16="http://schemas.microsoft.com/office/drawing/2014/chart" uri="{C3380CC4-5D6E-409C-BE32-E72D297353CC}">
              <c16:uniqueId val="{00000003-C75B-42B7-B831-2D9FA20D15DE}"/>
            </c:ext>
          </c:extLst>
        </c:ser>
        <c:dLbls>
          <c:showLegendKey val="0"/>
          <c:showVal val="0"/>
          <c:showCatName val="0"/>
          <c:showSerName val="0"/>
          <c:showPercent val="0"/>
          <c:showBubbleSize val="0"/>
        </c:dLbls>
        <c:axId val="1963956831"/>
        <c:axId val="1963953503"/>
      </c:scatterChart>
      <c:valAx>
        <c:axId val="1963956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Heat Loss Parameter( W/K)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3503"/>
        <c:crosses val="autoZero"/>
        <c:crossBetween val="midCat"/>
      </c:valAx>
      <c:valAx>
        <c:axId val="19639535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Space Heating Demand (kWh/m2.year)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683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1"/>
            <c:dispEq val="1"/>
            <c:trendlineLbl>
              <c:numFmt formatCode="#,##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('2BedFlat'!$E$86,'2BedFlat'!$J$86,'2BedFlat'!$K$86)</c:f>
              <c:numCache>
                <c:formatCode>0.0</c:formatCode>
                <c:ptCount val="3"/>
                <c:pt idx="0">
                  <c:v>88.57</c:v>
                </c:pt>
                <c:pt idx="1">
                  <c:v>73.557999999999993</c:v>
                </c:pt>
                <c:pt idx="2">
                  <c:v>66.184999999999988</c:v>
                </c:pt>
              </c:numCache>
            </c:numRef>
          </c:xVal>
          <c:yVal>
            <c:numRef>
              <c:f>('2BedFlat'!$E$87,'2BedFlat'!$J$87,'2BedFlat'!$K$87)</c:f>
              <c:numCache>
                <c:formatCode>General</c:formatCode>
                <c:ptCount val="3"/>
                <c:pt idx="0">
                  <c:v>32.89</c:v>
                </c:pt>
                <c:pt idx="1">
                  <c:v>19.16</c:v>
                </c:pt>
                <c:pt idx="2">
                  <c:v>14.75</c:v>
                </c:pt>
              </c:numCache>
            </c:numRef>
          </c:yVal>
          <c:smooth val="0"/>
          <c:extLst>
            <c:ext xmlns:c16="http://schemas.microsoft.com/office/drawing/2014/chart" uri="{C3380CC4-5D6E-409C-BE32-E72D297353CC}">
              <c16:uniqueId val="{00000001-4FD5-4537-8856-34544948774A}"/>
            </c:ext>
          </c:extLst>
        </c:ser>
        <c:dLbls>
          <c:showLegendKey val="0"/>
          <c:showVal val="0"/>
          <c:showCatName val="0"/>
          <c:showSerName val="0"/>
          <c:showPercent val="0"/>
          <c:showBubbleSize val="0"/>
        </c:dLbls>
        <c:axId val="1963956831"/>
        <c:axId val="1963953503"/>
      </c:scatterChart>
      <c:valAx>
        <c:axId val="1963956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Heat Loss Parameter( W/K)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3503"/>
        <c:crosses val="autoZero"/>
        <c:crossBetween val="midCat"/>
      </c:valAx>
      <c:valAx>
        <c:axId val="19639535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Space Heating Demand (kWh/m2.year)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683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Cumulative Emissions tCO2e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Projections!$B$49</c:f>
              <c:strCache>
                <c:ptCount val="1"/>
                <c:pt idx="0">
                  <c:v>Detached: Embodied</c:v>
                </c:pt>
              </c:strCache>
            </c:strRef>
          </c:tx>
          <c:spPr>
            <a:solidFill>
              <a:schemeClr val="accent1"/>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Projections!$C$49:$BK$49</c:f>
              <c:numCache>
                <c:formatCode>0</c:formatCode>
                <c:ptCount val="61"/>
                <c:pt idx="0">
                  <c:v>19907</c:v>
                </c:pt>
                <c:pt idx="1">
                  <c:v>19907</c:v>
                </c:pt>
                <c:pt idx="2">
                  <c:v>19907</c:v>
                </c:pt>
                <c:pt idx="3">
                  <c:v>19907</c:v>
                </c:pt>
                <c:pt idx="4">
                  <c:v>19907</c:v>
                </c:pt>
                <c:pt idx="5">
                  <c:v>19907</c:v>
                </c:pt>
                <c:pt idx="6">
                  <c:v>19907</c:v>
                </c:pt>
                <c:pt idx="7">
                  <c:v>19907</c:v>
                </c:pt>
                <c:pt idx="8">
                  <c:v>19907</c:v>
                </c:pt>
                <c:pt idx="9">
                  <c:v>19907</c:v>
                </c:pt>
                <c:pt idx="10">
                  <c:v>19907</c:v>
                </c:pt>
                <c:pt idx="11">
                  <c:v>19907</c:v>
                </c:pt>
                <c:pt idx="12">
                  <c:v>19907</c:v>
                </c:pt>
                <c:pt idx="13">
                  <c:v>19907</c:v>
                </c:pt>
                <c:pt idx="14">
                  <c:v>19907</c:v>
                </c:pt>
                <c:pt idx="15">
                  <c:v>20540.862917398947</c:v>
                </c:pt>
                <c:pt idx="16">
                  <c:v>20540.862917398947</c:v>
                </c:pt>
                <c:pt idx="17">
                  <c:v>20540.862917398947</c:v>
                </c:pt>
                <c:pt idx="18">
                  <c:v>20540.862917398947</c:v>
                </c:pt>
                <c:pt idx="19">
                  <c:v>20540.862917398947</c:v>
                </c:pt>
                <c:pt idx="20">
                  <c:v>20540.862917398947</c:v>
                </c:pt>
                <c:pt idx="21">
                  <c:v>20540.862917398947</c:v>
                </c:pt>
                <c:pt idx="22">
                  <c:v>20540.862917398947</c:v>
                </c:pt>
                <c:pt idx="23">
                  <c:v>20540.862917398947</c:v>
                </c:pt>
                <c:pt idx="24">
                  <c:v>20540.862917398947</c:v>
                </c:pt>
                <c:pt idx="25">
                  <c:v>22802.601054481547</c:v>
                </c:pt>
                <c:pt idx="26">
                  <c:v>22802.601054481547</c:v>
                </c:pt>
                <c:pt idx="27">
                  <c:v>22802.601054481547</c:v>
                </c:pt>
                <c:pt idx="28">
                  <c:v>22802.601054481547</c:v>
                </c:pt>
                <c:pt idx="29">
                  <c:v>22802.601054481547</c:v>
                </c:pt>
                <c:pt idx="30">
                  <c:v>22802.601054481547</c:v>
                </c:pt>
                <c:pt idx="31">
                  <c:v>22802.601054481547</c:v>
                </c:pt>
                <c:pt idx="32">
                  <c:v>22802.601054481547</c:v>
                </c:pt>
                <c:pt idx="33">
                  <c:v>22802.601054481547</c:v>
                </c:pt>
                <c:pt idx="34">
                  <c:v>22802.601054481547</c:v>
                </c:pt>
                <c:pt idx="35">
                  <c:v>22802.601054481547</c:v>
                </c:pt>
                <c:pt idx="36">
                  <c:v>22802.601054481547</c:v>
                </c:pt>
                <c:pt idx="37">
                  <c:v>22802.601054481547</c:v>
                </c:pt>
                <c:pt idx="38">
                  <c:v>22802.601054481547</c:v>
                </c:pt>
                <c:pt idx="39">
                  <c:v>22802.601054481547</c:v>
                </c:pt>
                <c:pt idx="40">
                  <c:v>22802.601054481547</c:v>
                </c:pt>
                <c:pt idx="41">
                  <c:v>22802.601054481547</c:v>
                </c:pt>
                <c:pt idx="42">
                  <c:v>22802.601054481547</c:v>
                </c:pt>
                <c:pt idx="43">
                  <c:v>22802.601054481547</c:v>
                </c:pt>
                <c:pt idx="44">
                  <c:v>22802.601054481547</c:v>
                </c:pt>
                <c:pt idx="45">
                  <c:v>22802.601054481547</c:v>
                </c:pt>
                <c:pt idx="46">
                  <c:v>22802.601054481547</c:v>
                </c:pt>
                <c:pt idx="47">
                  <c:v>22802.601054481547</c:v>
                </c:pt>
                <c:pt idx="48">
                  <c:v>22802.601054481547</c:v>
                </c:pt>
                <c:pt idx="49">
                  <c:v>22802.601054481547</c:v>
                </c:pt>
                <c:pt idx="50">
                  <c:v>23695.771528998244</c:v>
                </c:pt>
                <c:pt idx="51">
                  <c:v>23695.771528998244</c:v>
                </c:pt>
                <c:pt idx="52">
                  <c:v>23695.771528998244</c:v>
                </c:pt>
                <c:pt idx="53">
                  <c:v>23695.771528998244</c:v>
                </c:pt>
                <c:pt idx="54">
                  <c:v>23695.771528998244</c:v>
                </c:pt>
                <c:pt idx="55">
                  <c:v>23695.771528998244</c:v>
                </c:pt>
                <c:pt idx="56">
                  <c:v>23695.771528998244</c:v>
                </c:pt>
                <c:pt idx="57">
                  <c:v>23695.771528998244</c:v>
                </c:pt>
                <c:pt idx="58">
                  <c:v>23695.771528998244</c:v>
                </c:pt>
                <c:pt idx="59">
                  <c:v>23695.771528998244</c:v>
                </c:pt>
                <c:pt idx="60">
                  <c:v>28104</c:v>
                </c:pt>
              </c:numCache>
            </c:numRef>
          </c:val>
          <c:extLst>
            <c:ext xmlns:c16="http://schemas.microsoft.com/office/drawing/2014/chart" uri="{C3380CC4-5D6E-409C-BE32-E72D297353CC}">
              <c16:uniqueId val="{00000000-F6D8-4E1F-BEE6-96B5A066713A}"/>
            </c:ext>
          </c:extLst>
        </c:ser>
        <c:ser>
          <c:idx val="1"/>
          <c:order val="1"/>
          <c:tx>
            <c:strRef>
              <c:f>Projections!$B$50</c:f>
              <c:strCache>
                <c:ptCount val="1"/>
                <c:pt idx="0">
                  <c:v>Attached: Embodied</c:v>
                </c:pt>
              </c:strCache>
            </c:strRef>
          </c:tx>
          <c:spPr>
            <a:solidFill>
              <a:schemeClr val="accent2"/>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Projections!$C$50:$BK$50</c:f>
              <c:numCache>
                <c:formatCode>0</c:formatCode>
                <c:ptCount val="61"/>
                <c:pt idx="0">
                  <c:v>43044</c:v>
                </c:pt>
                <c:pt idx="1">
                  <c:v>43044</c:v>
                </c:pt>
                <c:pt idx="2">
                  <c:v>43044</c:v>
                </c:pt>
                <c:pt idx="3">
                  <c:v>43044</c:v>
                </c:pt>
                <c:pt idx="4">
                  <c:v>43044</c:v>
                </c:pt>
                <c:pt idx="5">
                  <c:v>43044</c:v>
                </c:pt>
                <c:pt idx="6">
                  <c:v>43044</c:v>
                </c:pt>
                <c:pt idx="7">
                  <c:v>43044</c:v>
                </c:pt>
                <c:pt idx="8">
                  <c:v>43044</c:v>
                </c:pt>
                <c:pt idx="9">
                  <c:v>43044</c:v>
                </c:pt>
                <c:pt idx="10">
                  <c:v>43044</c:v>
                </c:pt>
                <c:pt idx="11">
                  <c:v>43044</c:v>
                </c:pt>
                <c:pt idx="12">
                  <c:v>43044</c:v>
                </c:pt>
                <c:pt idx="13">
                  <c:v>43044</c:v>
                </c:pt>
                <c:pt idx="14">
                  <c:v>43044</c:v>
                </c:pt>
                <c:pt idx="15">
                  <c:v>44414.572934973636</c:v>
                </c:pt>
                <c:pt idx="16">
                  <c:v>44414.572934973636</c:v>
                </c:pt>
                <c:pt idx="17">
                  <c:v>44414.572934973636</c:v>
                </c:pt>
                <c:pt idx="18">
                  <c:v>44414.572934973636</c:v>
                </c:pt>
                <c:pt idx="19">
                  <c:v>44414.572934973636</c:v>
                </c:pt>
                <c:pt idx="20">
                  <c:v>44414.572934973636</c:v>
                </c:pt>
                <c:pt idx="21">
                  <c:v>44414.572934973636</c:v>
                </c:pt>
                <c:pt idx="22">
                  <c:v>44414.572934973636</c:v>
                </c:pt>
                <c:pt idx="23">
                  <c:v>44414.572934973636</c:v>
                </c:pt>
                <c:pt idx="24">
                  <c:v>44414.572934973636</c:v>
                </c:pt>
                <c:pt idx="25">
                  <c:v>49305.026362038661</c:v>
                </c:pt>
                <c:pt idx="26">
                  <c:v>49305.026362038661</c:v>
                </c:pt>
                <c:pt idx="27">
                  <c:v>49305.026362038661</c:v>
                </c:pt>
                <c:pt idx="28">
                  <c:v>49305.026362038661</c:v>
                </c:pt>
                <c:pt idx="29">
                  <c:v>49305.026362038661</c:v>
                </c:pt>
                <c:pt idx="30">
                  <c:v>49305.026362038661</c:v>
                </c:pt>
                <c:pt idx="31">
                  <c:v>49305.026362038661</c:v>
                </c:pt>
                <c:pt idx="32">
                  <c:v>49305.026362038661</c:v>
                </c:pt>
                <c:pt idx="33">
                  <c:v>49305.026362038661</c:v>
                </c:pt>
                <c:pt idx="34">
                  <c:v>49305.026362038661</c:v>
                </c:pt>
                <c:pt idx="35">
                  <c:v>49305.026362038661</c:v>
                </c:pt>
                <c:pt idx="36">
                  <c:v>49305.026362038661</c:v>
                </c:pt>
                <c:pt idx="37">
                  <c:v>49305.026362038661</c:v>
                </c:pt>
                <c:pt idx="38">
                  <c:v>49305.026362038661</c:v>
                </c:pt>
                <c:pt idx="39">
                  <c:v>49305.026362038661</c:v>
                </c:pt>
                <c:pt idx="40">
                  <c:v>49305.026362038661</c:v>
                </c:pt>
                <c:pt idx="41">
                  <c:v>49305.026362038661</c:v>
                </c:pt>
                <c:pt idx="42">
                  <c:v>49305.026362038661</c:v>
                </c:pt>
                <c:pt idx="43">
                  <c:v>49305.026362038661</c:v>
                </c:pt>
                <c:pt idx="44">
                  <c:v>49305.026362038661</c:v>
                </c:pt>
                <c:pt idx="45">
                  <c:v>49305.026362038661</c:v>
                </c:pt>
                <c:pt idx="46">
                  <c:v>49305.026362038661</c:v>
                </c:pt>
                <c:pt idx="47">
                  <c:v>49305.026362038661</c:v>
                </c:pt>
                <c:pt idx="48">
                  <c:v>49305.026362038661</c:v>
                </c:pt>
                <c:pt idx="49">
                  <c:v>49305.026362038661</c:v>
                </c:pt>
                <c:pt idx="50">
                  <c:v>51236.288224956057</c:v>
                </c:pt>
                <c:pt idx="51">
                  <c:v>51236.288224956057</c:v>
                </c:pt>
                <c:pt idx="52">
                  <c:v>51236.288224956057</c:v>
                </c:pt>
                <c:pt idx="53">
                  <c:v>51236.288224956057</c:v>
                </c:pt>
                <c:pt idx="54">
                  <c:v>51236.288224956057</c:v>
                </c:pt>
                <c:pt idx="55">
                  <c:v>51236.288224956057</c:v>
                </c:pt>
                <c:pt idx="56">
                  <c:v>51236.288224956057</c:v>
                </c:pt>
                <c:pt idx="57">
                  <c:v>51236.288224956057</c:v>
                </c:pt>
                <c:pt idx="58">
                  <c:v>51236.288224956057</c:v>
                </c:pt>
                <c:pt idx="59">
                  <c:v>51236.288224956057</c:v>
                </c:pt>
                <c:pt idx="60">
                  <c:v>60767.999999999993</c:v>
                </c:pt>
              </c:numCache>
            </c:numRef>
          </c:val>
          <c:extLst>
            <c:ext xmlns:c16="http://schemas.microsoft.com/office/drawing/2014/chart" uri="{C3380CC4-5D6E-409C-BE32-E72D297353CC}">
              <c16:uniqueId val="{00000001-F6D8-4E1F-BEE6-96B5A066713A}"/>
            </c:ext>
          </c:extLst>
        </c:ser>
        <c:ser>
          <c:idx val="2"/>
          <c:order val="2"/>
          <c:tx>
            <c:strRef>
              <c:f>Projections!$B$51</c:f>
              <c:strCache>
                <c:ptCount val="1"/>
                <c:pt idx="0">
                  <c:v>1 Bed Flat: Embodied</c:v>
                </c:pt>
              </c:strCache>
            </c:strRef>
          </c:tx>
          <c:spPr>
            <a:solidFill>
              <a:schemeClr val="accent3"/>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Projections!$C$51:$BK$51</c:f>
              <c:numCache>
                <c:formatCode>0</c:formatCode>
                <c:ptCount val="61"/>
                <c:pt idx="0">
                  <c:v>4250</c:v>
                </c:pt>
                <c:pt idx="1">
                  <c:v>4250</c:v>
                </c:pt>
                <c:pt idx="2">
                  <c:v>4250</c:v>
                </c:pt>
                <c:pt idx="3">
                  <c:v>4250</c:v>
                </c:pt>
                <c:pt idx="4">
                  <c:v>4250</c:v>
                </c:pt>
                <c:pt idx="5">
                  <c:v>4250</c:v>
                </c:pt>
                <c:pt idx="6">
                  <c:v>4250</c:v>
                </c:pt>
                <c:pt idx="7">
                  <c:v>4250</c:v>
                </c:pt>
                <c:pt idx="8">
                  <c:v>4250</c:v>
                </c:pt>
                <c:pt idx="9">
                  <c:v>4250</c:v>
                </c:pt>
                <c:pt idx="10">
                  <c:v>4250</c:v>
                </c:pt>
                <c:pt idx="11">
                  <c:v>4250</c:v>
                </c:pt>
                <c:pt idx="12">
                  <c:v>4250</c:v>
                </c:pt>
                <c:pt idx="13">
                  <c:v>4250</c:v>
                </c:pt>
                <c:pt idx="14">
                  <c:v>4250</c:v>
                </c:pt>
                <c:pt idx="15">
                  <c:v>4385.3251318101929</c:v>
                </c:pt>
                <c:pt idx="16">
                  <c:v>4385.3251318101929</c:v>
                </c:pt>
                <c:pt idx="17">
                  <c:v>4385.3251318101929</c:v>
                </c:pt>
                <c:pt idx="18">
                  <c:v>4385.3251318101929</c:v>
                </c:pt>
                <c:pt idx="19">
                  <c:v>4385.3251318101929</c:v>
                </c:pt>
                <c:pt idx="20">
                  <c:v>4385.3251318101929</c:v>
                </c:pt>
                <c:pt idx="21">
                  <c:v>4385.3251318101929</c:v>
                </c:pt>
                <c:pt idx="22">
                  <c:v>4385.3251318101929</c:v>
                </c:pt>
                <c:pt idx="23">
                  <c:v>4385.3251318101929</c:v>
                </c:pt>
                <c:pt idx="24">
                  <c:v>4385.3251318101929</c:v>
                </c:pt>
                <c:pt idx="25">
                  <c:v>4868.1898066783824</c:v>
                </c:pt>
                <c:pt idx="26">
                  <c:v>4868.1898066783824</c:v>
                </c:pt>
                <c:pt idx="27">
                  <c:v>4868.1898066783824</c:v>
                </c:pt>
                <c:pt idx="28">
                  <c:v>4868.1898066783824</c:v>
                </c:pt>
                <c:pt idx="29">
                  <c:v>4868.1898066783824</c:v>
                </c:pt>
                <c:pt idx="30">
                  <c:v>4868.1898066783824</c:v>
                </c:pt>
                <c:pt idx="31">
                  <c:v>4868.1898066783824</c:v>
                </c:pt>
                <c:pt idx="32">
                  <c:v>4868.1898066783824</c:v>
                </c:pt>
                <c:pt idx="33">
                  <c:v>4868.1898066783824</c:v>
                </c:pt>
                <c:pt idx="34">
                  <c:v>4868.1898066783824</c:v>
                </c:pt>
                <c:pt idx="35">
                  <c:v>4868.1898066783824</c:v>
                </c:pt>
                <c:pt idx="36">
                  <c:v>4868.1898066783824</c:v>
                </c:pt>
                <c:pt idx="37">
                  <c:v>4868.1898066783824</c:v>
                </c:pt>
                <c:pt idx="38">
                  <c:v>4868.1898066783824</c:v>
                </c:pt>
                <c:pt idx="39">
                  <c:v>4868.1898066783824</c:v>
                </c:pt>
                <c:pt idx="40">
                  <c:v>4868.1898066783824</c:v>
                </c:pt>
                <c:pt idx="41">
                  <c:v>4868.1898066783824</c:v>
                </c:pt>
                <c:pt idx="42">
                  <c:v>4868.1898066783824</c:v>
                </c:pt>
                <c:pt idx="43">
                  <c:v>4868.1898066783824</c:v>
                </c:pt>
                <c:pt idx="44">
                  <c:v>4868.1898066783824</c:v>
                </c:pt>
                <c:pt idx="45">
                  <c:v>4868.1898066783824</c:v>
                </c:pt>
                <c:pt idx="46">
                  <c:v>4868.1898066783824</c:v>
                </c:pt>
                <c:pt idx="47">
                  <c:v>4868.1898066783824</c:v>
                </c:pt>
                <c:pt idx="48">
                  <c:v>4868.1898066783824</c:v>
                </c:pt>
                <c:pt idx="49">
                  <c:v>4868.1898066783824</c:v>
                </c:pt>
                <c:pt idx="50">
                  <c:v>5058.8752196836549</c:v>
                </c:pt>
                <c:pt idx="51">
                  <c:v>5058.8752196836549</c:v>
                </c:pt>
                <c:pt idx="52">
                  <c:v>5058.8752196836549</c:v>
                </c:pt>
                <c:pt idx="53">
                  <c:v>5058.8752196836549</c:v>
                </c:pt>
                <c:pt idx="54">
                  <c:v>5058.8752196836549</c:v>
                </c:pt>
                <c:pt idx="55">
                  <c:v>5058.8752196836549</c:v>
                </c:pt>
                <c:pt idx="56">
                  <c:v>5058.8752196836549</c:v>
                </c:pt>
                <c:pt idx="57">
                  <c:v>5058.8752196836549</c:v>
                </c:pt>
                <c:pt idx="58">
                  <c:v>5058.8752196836549</c:v>
                </c:pt>
                <c:pt idx="59">
                  <c:v>5058.8752196836549</c:v>
                </c:pt>
                <c:pt idx="60">
                  <c:v>5999.9999999999991</c:v>
                </c:pt>
              </c:numCache>
            </c:numRef>
          </c:val>
          <c:extLst>
            <c:ext xmlns:c16="http://schemas.microsoft.com/office/drawing/2014/chart" uri="{C3380CC4-5D6E-409C-BE32-E72D297353CC}">
              <c16:uniqueId val="{00000002-F6D8-4E1F-BEE6-96B5A066713A}"/>
            </c:ext>
          </c:extLst>
        </c:ser>
        <c:ser>
          <c:idx val="3"/>
          <c:order val="3"/>
          <c:tx>
            <c:strRef>
              <c:f>Projections!$B$52</c:f>
              <c:strCache>
                <c:ptCount val="1"/>
                <c:pt idx="0">
                  <c:v>2 Bed Flat: Embodied</c:v>
                </c:pt>
              </c:strCache>
            </c:strRef>
          </c:tx>
          <c:spPr>
            <a:solidFill>
              <a:schemeClr val="accent4"/>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Projections!$C$52:$BK$52</c:f>
              <c:numCache>
                <c:formatCode>0</c:formatCode>
                <c:ptCount val="61"/>
                <c:pt idx="0">
                  <c:v>5958.4999999999991</c:v>
                </c:pt>
                <c:pt idx="1">
                  <c:v>5958.4999999999991</c:v>
                </c:pt>
                <c:pt idx="2">
                  <c:v>5958.4999999999991</c:v>
                </c:pt>
                <c:pt idx="3">
                  <c:v>5958.4999999999991</c:v>
                </c:pt>
                <c:pt idx="4">
                  <c:v>5958.4999999999991</c:v>
                </c:pt>
                <c:pt idx="5">
                  <c:v>5958.4999999999991</c:v>
                </c:pt>
                <c:pt idx="6">
                  <c:v>5958.4999999999991</c:v>
                </c:pt>
                <c:pt idx="7">
                  <c:v>5958.4999999999991</c:v>
                </c:pt>
                <c:pt idx="8">
                  <c:v>5958.4999999999991</c:v>
                </c:pt>
                <c:pt idx="9">
                  <c:v>5958.4999999999991</c:v>
                </c:pt>
                <c:pt idx="10">
                  <c:v>5958.4999999999991</c:v>
                </c:pt>
                <c:pt idx="11">
                  <c:v>5958.4999999999991</c:v>
                </c:pt>
                <c:pt idx="12">
                  <c:v>5958.4999999999991</c:v>
                </c:pt>
                <c:pt idx="13">
                  <c:v>5958.4999999999991</c:v>
                </c:pt>
                <c:pt idx="14">
                  <c:v>5958.4999999999991</c:v>
                </c:pt>
                <c:pt idx="15">
                  <c:v>6148.2258347978905</c:v>
                </c:pt>
                <c:pt idx="16">
                  <c:v>6148.2258347978905</c:v>
                </c:pt>
                <c:pt idx="17">
                  <c:v>6148.2258347978905</c:v>
                </c:pt>
                <c:pt idx="18">
                  <c:v>6148.2258347978905</c:v>
                </c:pt>
                <c:pt idx="19">
                  <c:v>6148.2258347978905</c:v>
                </c:pt>
                <c:pt idx="20">
                  <c:v>6148.2258347978905</c:v>
                </c:pt>
                <c:pt idx="21">
                  <c:v>6148.2258347978905</c:v>
                </c:pt>
                <c:pt idx="22">
                  <c:v>6148.2258347978905</c:v>
                </c:pt>
                <c:pt idx="23">
                  <c:v>6148.2258347978905</c:v>
                </c:pt>
                <c:pt idx="24">
                  <c:v>6148.2258347978905</c:v>
                </c:pt>
                <c:pt idx="25">
                  <c:v>6825.2021089630925</c:v>
                </c:pt>
                <c:pt idx="26">
                  <c:v>6825.2021089630925</c:v>
                </c:pt>
                <c:pt idx="27">
                  <c:v>6825.2021089630925</c:v>
                </c:pt>
                <c:pt idx="28">
                  <c:v>6825.2021089630925</c:v>
                </c:pt>
                <c:pt idx="29">
                  <c:v>6825.2021089630925</c:v>
                </c:pt>
                <c:pt idx="30">
                  <c:v>6825.2021089630925</c:v>
                </c:pt>
                <c:pt idx="31">
                  <c:v>6825.2021089630925</c:v>
                </c:pt>
                <c:pt idx="32">
                  <c:v>6825.2021089630925</c:v>
                </c:pt>
                <c:pt idx="33">
                  <c:v>6825.2021089630925</c:v>
                </c:pt>
                <c:pt idx="34">
                  <c:v>6825.2021089630925</c:v>
                </c:pt>
                <c:pt idx="35">
                  <c:v>6825.2021089630925</c:v>
                </c:pt>
                <c:pt idx="36">
                  <c:v>6825.2021089630925</c:v>
                </c:pt>
                <c:pt idx="37">
                  <c:v>6825.2021089630925</c:v>
                </c:pt>
                <c:pt idx="38">
                  <c:v>6825.2021089630925</c:v>
                </c:pt>
                <c:pt idx="39">
                  <c:v>6825.2021089630925</c:v>
                </c:pt>
                <c:pt idx="40">
                  <c:v>6825.2021089630925</c:v>
                </c:pt>
                <c:pt idx="41">
                  <c:v>6825.2021089630925</c:v>
                </c:pt>
                <c:pt idx="42">
                  <c:v>6825.2021089630925</c:v>
                </c:pt>
                <c:pt idx="43">
                  <c:v>6825.2021089630925</c:v>
                </c:pt>
                <c:pt idx="44">
                  <c:v>6825.2021089630925</c:v>
                </c:pt>
                <c:pt idx="45">
                  <c:v>6825.2021089630925</c:v>
                </c:pt>
                <c:pt idx="46">
                  <c:v>6825.2021089630925</c:v>
                </c:pt>
                <c:pt idx="47">
                  <c:v>6825.2021089630925</c:v>
                </c:pt>
                <c:pt idx="48">
                  <c:v>6825.2021089630925</c:v>
                </c:pt>
                <c:pt idx="49">
                  <c:v>6825.2021089630925</c:v>
                </c:pt>
                <c:pt idx="50">
                  <c:v>7092.5430579964841</c:v>
                </c:pt>
                <c:pt idx="51">
                  <c:v>7092.5430579964841</c:v>
                </c:pt>
                <c:pt idx="52">
                  <c:v>7092.5430579964841</c:v>
                </c:pt>
                <c:pt idx="53">
                  <c:v>7092.5430579964841</c:v>
                </c:pt>
                <c:pt idx="54">
                  <c:v>7092.5430579964841</c:v>
                </c:pt>
                <c:pt idx="55">
                  <c:v>7092.5430579964841</c:v>
                </c:pt>
                <c:pt idx="56">
                  <c:v>7092.5430579964841</c:v>
                </c:pt>
                <c:pt idx="57">
                  <c:v>7092.5430579964841</c:v>
                </c:pt>
                <c:pt idx="58">
                  <c:v>7092.5430579964841</c:v>
                </c:pt>
                <c:pt idx="59">
                  <c:v>7092.5430579964841</c:v>
                </c:pt>
                <c:pt idx="60">
                  <c:v>8411.9999999999982</c:v>
                </c:pt>
              </c:numCache>
            </c:numRef>
          </c:val>
          <c:extLst>
            <c:ext xmlns:c16="http://schemas.microsoft.com/office/drawing/2014/chart" uri="{C3380CC4-5D6E-409C-BE32-E72D297353CC}">
              <c16:uniqueId val="{00000003-F6D8-4E1F-BEE6-96B5A066713A}"/>
            </c:ext>
          </c:extLst>
        </c:ser>
        <c:ser>
          <c:idx val="4"/>
          <c:order val="4"/>
          <c:tx>
            <c:strRef>
              <c:f>Projections!$B$53</c:f>
              <c:strCache>
                <c:ptCount val="1"/>
                <c:pt idx="0">
                  <c:v>Detached: Operational</c:v>
                </c:pt>
              </c:strCache>
            </c:strRef>
          </c:tx>
          <c:spPr>
            <a:solidFill>
              <a:schemeClr val="accent5"/>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Projections!$C$53:$BK$53</c:f>
              <c:numCache>
                <c:formatCode>0</c:formatCode>
                <c:ptCount val="61"/>
                <c:pt idx="0">
                  <c:v>0</c:v>
                </c:pt>
                <c:pt idx="1">
                  <c:v>34.283834168119974</c:v>
                </c:pt>
                <c:pt idx="2">
                  <c:v>63.896864756436571</c:v>
                </c:pt>
                <c:pt idx="3">
                  <c:v>90.517854245641729</c:v>
                </c:pt>
                <c:pt idx="4">
                  <c:v>111.64864025100442</c:v>
                </c:pt>
                <c:pt idx="5">
                  <c:v>128.6551789345416</c:v>
                </c:pt>
                <c:pt idx="6">
                  <c:v>140.82279803879211</c:v>
                </c:pt>
                <c:pt idx="7">
                  <c:v>149.94888625818012</c:v>
                </c:pt>
                <c:pt idx="8">
                  <c:v>156.69065548168842</c:v>
                </c:pt>
                <c:pt idx="9">
                  <c:v>161.38617789332901</c:v>
                </c:pt>
                <c:pt idx="10">
                  <c:v>165.74534120652726</c:v>
                </c:pt>
                <c:pt idx="11">
                  <c:v>169.68283938789699</c:v>
                </c:pt>
                <c:pt idx="12">
                  <c:v>173.42486153099804</c:v>
                </c:pt>
                <c:pt idx="13">
                  <c:v>177.00101034456577</c:v>
                </c:pt>
                <c:pt idx="14">
                  <c:v>180.25480362302625</c:v>
                </c:pt>
                <c:pt idx="15">
                  <c:v>182.39453399817123</c:v>
                </c:pt>
                <c:pt idx="16">
                  <c:v>184.31524769835562</c:v>
                </c:pt>
                <c:pt idx="17">
                  <c:v>186.17486663218833</c:v>
                </c:pt>
                <c:pt idx="18">
                  <c:v>187.95267160039168</c:v>
                </c:pt>
                <c:pt idx="19">
                  <c:v>189.11603728308987</c:v>
                </c:pt>
                <c:pt idx="20">
                  <c:v>190.15899701259707</c:v>
                </c:pt>
                <c:pt idx="21">
                  <c:v>190.96819097624279</c:v>
                </c:pt>
                <c:pt idx="22">
                  <c:v>191.76772478787763</c:v>
                </c:pt>
                <c:pt idx="23">
                  <c:v>192.53228253915472</c:v>
                </c:pt>
                <c:pt idx="24">
                  <c:v>193.28453100049876</c:v>
                </c:pt>
                <c:pt idx="25">
                  <c:v>194.0367794618428</c:v>
                </c:pt>
                <c:pt idx="26">
                  <c:v>194.78902792318684</c:v>
                </c:pt>
                <c:pt idx="27">
                  <c:v>195.54127638453087</c:v>
                </c:pt>
                <c:pt idx="28">
                  <c:v>196.29352484587491</c:v>
                </c:pt>
                <c:pt idx="29">
                  <c:v>197.04577330721895</c:v>
                </c:pt>
                <c:pt idx="30">
                  <c:v>197.79802176856299</c:v>
                </c:pt>
                <c:pt idx="31">
                  <c:v>198.55027022990703</c:v>
                </c:pt>
                <c:pt idx="32">
                  <c:v>199.30251869125107</c:v>
                </c:pt>
                <c:pt idx="33">
                  <c:v>200.0547671525951</c:v>
                </c:pt>
                <c:pt idx="34">
                  <c:v>200.80701561393914</c:v>
                </c:pt>
                <c:pt idx="35">
                  <c:v>201.55926407528318</c:v>
                </c:pt>
                <c:pt idx="36">
                  <c:v>202.31151253662722</c:v>
                </c:pt>
                <c:pt idx="37">
                  <c:v>203.06376099797126</c:v>
                </c:pt>
                <c:pt idx="38">
                  <c:v>203.8160094593153</c:v>
                </c:pt>
                <c:pt idx="39">
                  <c:v>204.56825792065933</c:v>
                </c:pt>
                <c:pt idx="40">
                  <c:v>205.32050638200337</c:v>
                </c:pt>
                <c:pt idx="41">
                  <c:v>206.07275484334741</c:v>
                </c:pt>
                <c:pt idx="42">
                  <c:v>206.82500330469145</c:v>
                </c:pt>
                <c:pt idx="43">
                  <c:v>207.57725176603549</c:v>
                </c:pt>
                <c:pt idx="44">
                  <c:v>208.32950022737953</c:v>
                </c:pt>
                <c:pt idx="45">
                  <c:v>209.08174868872356</c:v>
                </c:pt>
                <c:pt idx="46">
                  <c:v>209.8339971500676</c:v>
                </c:pt>
                <c:pt idx="47">
                  <c:v>210.58624561141164</c:v>
                </c:pt>
                <c:pt idx="48">
                  <c:v>211.33849407275568</c:v>
                </c:pt>
                <c:pt idx="49">
                  <c:v>212.09074253409972</c:v>
                </c:pt>
                <c:pt idx="50">
                  <c:v>212.84299099544376</c:v>
                </c:pt>
                <c:pt idx="51">
                  <c:v>213.59523945678779</c:v>
                </c:pt>
                <c:pt idx="52">
                  <c:v>214.34748791813183</c:v>
                </c:pt>
                <c:pt idx="53">
                  <c:v>215.09973637947587</c:v>
                </c:pt>
                <c:pt idx="54">
                  <c:v>215.85198484081991</c:v>
                </c:pt>
                <c:pt idx="55">
                  <c:v>216.60423330216395</c:v>
                </c:pt>
                <c:pt idx="56">
                  <c:v>217.35648176350799</c:v>
                </c:pt>
                <c:pt idx="57">
                  <c:v>218.10873022485202</c:v>
                </c:pt>
                <c:pt idx="58">
                  <c:v>218.86097868619606</c:v>
                </c:pt>
                <c:pt idx="59">
                  <c:v>219.6132271475401</c:v>
                </c:pt>
                <c:pt idx="60">
                  <c:v>220.36547560888414</c:v>
                </c:pt>
              </c:numCache>
            </c:numRef>
          </c:val>
          <c:extLst>
            <c:ext xmlns:c16="http://schemas.microsoft.com/office/drawing/2014/chart" uri="{C3380CC4-5D6E-409C-BE32-E72D297353CC}">
              <c16:uniqueId val="{00000004-F6D8-4E1F-BEE6-96B5A066713A}"/>
            </c:ext>
          </c:extLst>
        </c:ser>
        <c:ser>
          <c:idx val="5"/>
          <c:order val="5"/>
          <c:tx>
            <c:strRef>
              <c:f>Projections!$B$54</c:f>
              <c:strCache>
                <c:ptCount val="1"/>
                <c:pt idx="0">
                  <c:v>Attached: Operational</c:v>
                </c:pt>
              </c:strCache>
            </c:strRef>
          </c:tx>
          <c:spPr>
            <a:solidFill>
              <a:schemeClr val="accent6"/>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Projections!$C$54:$BK$54</c:f>
              <c:numCache>
                <c:formatCode>0</c:formatCode>
                <c:ptCount val="61"/>
                <c:pt idx="0">
                  <c:v>0</c:v>
                </c:pt>
                <c:pt idx="1">
                  <c:v>74.130374136361894</c:v>
                </c:pt>
                <c:pt idx="2">
                  <c:v>138.16128229145806</c:v>
                </c:pt>
                <c:pt idx="3">
                  <c:v>195.72263616564035</c:v>
                </c:pt>
                <c:pt idx="4">
                  <c:v>241.41277294239387</c:v>
                </c:pt>
                <c:pt idx="5">
                  <c:v>278.18523745709598</c:v>
                </c:pt>
                <c:pt idx="6">
                  <c:v>304.49472641692716</c:v>
                </c:pt>
                <c:pt idx="7">
                  <c:v>324.2276515847243</c:v>
                </c:pt>
                <c:pt idx="8">
                  <c:v>338.80507231394978</c:v>
                </c:pt>
                <c:pt idx="9">
                  <c:v>348.95798670017865</c:v>
                </c:pt>
                <c:pt idx="10">
                  <c:v>358.3836071177858</c:v>
                </c:pt>
                <c:pt idx="11">
                  <c:v>366.89748021362539</c:v>
                </c:pt>
                <c:pt idx="12">
                  <c:v>374.98868436933151</c:v>
                </c:pt>
                <c:pt idx="13">
                  <c:v>382.72122817458643</c:v>
                </c:pt>
                <c:pt idx="14">
                  <c:v>389.75675727882378</c:v>
                </c:pt>
                <c:pt idx="15">
                  <c:v>394.38339887563598</c:v>
                </c:pt>
                <c:pt idx="16">
                  <c:v>398.53647068508678</c:v>
                </c:pt>
                <c:pt idx="17">
                  <c:v>402.55744006208459</c:v>
                </c:pt>
                <c:pt idx="18">
                  <c:v>406.40150682509989</c:v>
                </c:pt>
                <c:pt idx="19">
                  <c:v>408.91699948828676</c:v>
                </c:pt>
                <c:pt idx="20">
                  <c:v>411.17214383936471</c:v>
                </c:pt>
                <c:pt idx="21">
                  <c:v>412.92182711515545</c:v>
                </c:pt>
                <c:pt idx="22">
                  <c:v>414.65062268395081</c:v>
                </c:pt>
                <c:pt idx="23">
                  <c:v>416.30379110942783</c:v>
                </c:pt>
                <c:pt idx="24">
                  <c:v>417.93034371756028</c:v>
                </c:pt>
                <c:pt idx="25">
                  <c:v>419.55689632569272</c:v>
                </c:pt>
                <c:pt idx="26">
                  <c:v>421.18344893382516</c:v>
                </c:pt>
                <c:pt idx="27">
                  <c:v>422.8100015419576</c:v>
                </c:pt>
                <c:pt idx="28">
                  <c:v>424.43655415009005</c:v>
                </c:pt>
                <c:pt idx="29">
                  <c:v>426.06310675822249</c:v>
                </c:pt>
                <c:pt idx="30">
                  <c:v>427.68965936635493</c:v>
                </c:pt>
                <c:pt idx="31">
                  <c:v>429.31621197448737</c:v>
                </c:pt>
                <c:pt idx="32">
                  <c:v>430.94276458261982</c:v>
                </c:pt>
                <c:pt idx="33">
                  <c:v>432.56931719075226</c:v>
                </c:pt>
                <c:pt idx="34">
                  <c:v>434.1958697988847</c:v>
                </c:pt>
                <c:pt idx="35">
                  <c:v>435.82242240701714</c:v>
                </c:pt>
                <c:pt idx="36">
                  <c:v>437.44897501514959</c:v>
                </c:pt>
                <c:pt idx="37">
                  <c:v>439.07552762328203</c:v>
                </c:pt>
                <c:pt idx="38">
                  <c:v>440.70208023141447</c:v>
                </c:pt>
                <c:pt idx="39">
                  <c:v>442.32863283954691</c:v>
                </c:pt>
                <c:pt idx="40">
                  <c:v>443.95518544767936</c:v>
                </c:pt>
                <c:pt idx="41">
                  <c:v>445.5817380558118</c:v>
                </c:pt>
                <c:pt idx="42">
                  <c:v>447.20829066394424</c:v>
                </c:pt>
                <c:pt idx="43">
                  <c:v>448.83484327207668</c:v>
                </c:pt>
                <c:pt idx="44">
                  <c:v>450.46139588020912</c:v>
                </c:pt>
                <c:pt idx="45">
                  <c:v>452.08794848834157</c:v>
                </c:pt>
                <c:pt idx="46">
                  <c:v>453.71450109647401</c:v>
                </c:pt>
                <c:pt idx="47">
                  <c:v>455.34105370460645</c:v>
                </c:pt>
                <c:pt idx="48">
                  <c:v>456.96760631273889</c:v>
                </c:pt>
                <c:pt idx="49">
                  <c:v>458.59415892087134</c:v>
                </c:pt>
                <c:pt idx="50">
                  <c:v>460.22071152900378</c:v>
                </c:pt>
                <c:pt idx="51">
                  <c:v>461.84726413713622</c:v>
                </c:pt>
                <c:pt idx="52">
                  <c:v>463.47381674526866</c:v>
                </c:pt>
                <c:pt idx="53">
                  <c:v>465.10036935340111</c:v>
                </c:pt>
                <c:pt idx="54">
                  <c:v>466.72692196153355</c:v>
                </c:pt>
                <c:pt idx="55">
                  <c:v>468.35347456966599</c:v>
                </c:pt>
                <c:pt idx="56">
                  <c:v>469.98002717779843</c:v>
                </c:pt>
                <c:pt idx="57">
                  <c:v>471.60657978593088</c:v>
                </c:pt>
                <c:pt idx="58">
                  <c:v>473.23313239406332</c:v>
                </c:pt>
                <c:pt idx="59">
                  <c:v>474.85968500219576</c:v>
                </c:pt>
                <c:pt idx="60">
                  <c:v>476.4862376103282</c:v>
                </c:pt>
              </c:numCache>
            </c:numRef>
          </c:val>
          <c:extLst>
            <c:ext xmlns:c16="http://schemas.microsoft.com/office/drawing/2014/chart" uri="{C3380CC4-5D6E-409C-BE32-E72D297353CC}">
              <c16:uniqueId val="{00000005-F6D8-4E1F-BEE6-96B5A066713A}"/>
            </c:ext>
          </c:extLst>
        </c:ser>
        <c:ser>
          <c:idx val="6"/>
          <c:order val="6"/>
          <c:tx>
            <c:strRef>
              <c:f>Projections!$B$55</c:f>
              <c:strCache>
                <c:ptCount val="1"/>
                <c:pt idx="0">
                  <c:v>1 Bed Flat: Operational</c:v>
                </c:pt>
              </c:strCache>
            </c:strRef>
          </c:tx>
          <c:spPr>
            <a:solidFill>
              <a:schemeClr val="accent1">
                <a:lumMod val="60000"/>
              </a:schemeClr>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Projections!$C$55:$BK$55</c:f>
              <c:numCache>
                <c:formatCode>0</c:formatCode>
                <c:ptCount val="61"/>
                <c:pt idx="0">
                  <c:v>0</c:v>
                </c:pt>
                <c:pt idx="1">
                  <c:v>4.9274729707899176</c:v>
                </c:pt>
                <c:pt idx="2">
                  <c:v>9.1836307590804545</c:v>
                </c:pt>
                <c:pt idx="3">
                  <c:v>13.009754917787237</c:v>
                </c:pt>
                <c:pt idx="4">
                  <c:v>16.046794951943962</c:v>
                </c:pt>
                <c:pt idx="5">
                  <c:v>18.49107406258516</c:v>
                </c:pt>
                <c:pt idx="6">
                  <c:v>20.23987537696129</c:v>
                </c:pt>
                <c:pt idx="7">
                  <c:v>21.551530100571355</c:v>
                </c:pt>
                <c:pt idx="8">
                  <c:v>22.52049656626005</c:v>
                </c:pt>
                <c:pt idx="9">
                  <c:v>23.19536448370588</c:v>
                </c:pt>
                <c:pt idx="10">
                  <c:v>23.82188890614102</c:v>
                </c:pt>
                <c:pt idx="11">
                  <c:v>24.38780915199483</c:v>
                </c:pt>
                <c:pt idx="12">
                  <c:v>24.925634439441055</c:v>
                </c:pt>
                <c:pt idx="13">
                  <c:v>25.43961944275096</c:v>
                </c:pt>
                <c:pt idx="14">
                  <c:v>25.907273624997028</c:v>
                </c:pt>
                <c:pt idx="15">
                  <c:v>26.214808177188665</c:v>
                </c:pt>
                <c:pt idx="16">
                  <c:v>26.490864373116867</c:v>
                </c:pt>
                <c:pt idx="17">
                  <c:v>26.758139672241683</c:v>
                </c:pt>
                <c:pt idx="18">
                  <c:v>27.013656190178406</c:v>
                </c:pt>
                <c:pt idx="19">
                  <c:v>27.180861903767187</c:v>
                </c:pt>
                <c:pt idx="20">
                  <c:v>27.330762170218364</c:v>
                </c:pt>
                <c:pt idx="21">
                  <c:v>27.447064254881298</c:v>
                </c:pt>
                <c:pt idx="22">
                  <c:v>27.561977926051913</c:v>
                </c:pt>
                <c:pt idx="23">
                  <c:v>27.671864633459013</c:v>
                </c:pt>
                <c:pt idx="24">
                  <c:v>27.779982177792423</c:v>
                </c:pt>
                <c:pt idx="25">
                  <c:v>27.888099722125833</c:v>
                </c:pt>
                <c:pt idx="26">
                  <c:v>27.996217266459244</c:v>
                </c:pt>
                <c:pt idx="27">
                  <c:v>28.104334810792654</c:v>
                </c:pt>
                <c:pt idx="28">
                  <c:v>28.212452355126064</c:v>
                </c:pt>
                <c:pt idx="29">
                  <c:v>28.320569899459475</c:v>
                </c:pt>
                <c:pt idx="30">
                  <c:v>28.428687443792885</c:v>
                </c:pt>
                <c:pt idx="31">
                  <c:v>28.536804988126296</c:v>
                </c:pt>
                <c:pt idx="32">
                  <c:v>28.644922532459706</c:v>
                </c:pt>
                <c:pt idx="33">
                  <c:v>28.753040076793116</c:v>
                </c:pt>
                <c:pt idx="34">
                  <c:v>28.861157621126527</c:v>
                </c:pt>
                <c:pt idx="35">
                  <c:v>28.969275165459937</c:v>
                </c:pt>
                <c:pt idx="36">
                  <c:v>29.077392709793347</c:v>
                </c:pt>
                <c:pt idx="37">
                  <c:v>29.185510254126758</c:v>
                </c:pt>
                <c:pt idx="38">
                  <c:v>29.293627798460168</c:v>
                </c:pt>
                <c:pt idx="39">
                  <c:v>29.401745342793578</c:v>
                </c:pt>
                <c:pt idx="40">
                  <c:v>29.509862887126989</c:v>
                </c:pt>
                <c:pt idx="41">
                  <c:v>29.617980431460399</c:v>
                </c:pt>
                <c:pt idx="42">
                  <c:v>29.72609797579381</c:v>
                </c:pt>
                <c:pt idx="43">
                  <c:v>29.83421552012722</c:v>
                </c:pt>
                <c:pt idx="44">
                  <c:v>29.94233306446063</c:v>
                </c:pt>
                <c:pt idx="45">
                  <c:v>30.050450608794041</c:v>
                </c:pt>
                <c:pt idx="46">
                  <c:v>30.158568153127451</c:v>
                </c:pt>
                <c:pt idx="47">
                  <c:v>30.266685697460861</c:v>
                </c:pt>
                <c:pt idx="48">
                  <c:v>30.374803241794272</c:v>
                </c:pt>
                <c:pt idx="49">
                  <c:v>30.482920786127682</c:v>
                </c:pt>
                <c:pt idx="50">
                  <c:v>30.591038330461092</c:v>
                </c:pt>
                <c:pt idx="51">
                  <c:v>30.699155874794503</c:v>
                </c:pt>
                <c:pt idx="52">
                  <c:v>30.807273419127913</c:v>
                </c:pt>
                <c:pt idx="53">
                  <c:v>30.915390963461324</c:v>
                </c:pt>
                <c:pt idx="54">
                  <c:v>31.023508507794734</c:v>
                </c:pt>
                <c:pt idx="55">
                  <c:v>31.131626052128144</c:v>
                </c:pt>
                <c:pt idx="56">
                  <c:v>31.239743596461555</c:v>
                </c:pt>
                <c:pt idx="57">
                  <c:v>31.347861140794965</c:v>
                </c:pt>
                <c:pt idx="58">
                  <c:v>31.455978685128375</c:v>
                </c:pt>
                <c:pt idx="59">
                  <c:v>31.564096229461786</c:v>
                </c:pt>
                <c:pt idx="60">
                  <c:v>31.672213773795196</c:v>
                </c:pt>
              </c:numCache>
            </c:numRef>
          </c:val>
          <c:extLst>
            <c:ext xmlns:c16="http://schemas.microsoft.com/office/drawing/2014/chart" uri="{C3380CC4-5D6E-409C-BE32-E72D297353CC}">
              <c16:uniqueId val="{00000006-F6D8-4E1F-BEE6-96B5A066713A}"/>
            </c:ext>
          </c:extLst>
        </c:ser>
        <c:ser>
          <c:idx val="7"/>
          <c:order val="7"/>
          <c:tx>
            <c:strRef>
              <c:f>Projections!$B$56</c:f>
              <c:strCache>
                <c:ptCount val="1"/>
                <c:pt idx="0">
                  <c:v>2 Bed Flat: Operational</c:v>
                </c:pt>
              </c:strCache>
            </c:strRef>
          </c:tx>
          <c:spPr>
            <a:solidFill>
              <a:schemeClr val="accent2">
                <a:lumMod val="60000"/>
              </a:schemeClr>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Projections!$C$56:$BK$56</c:f>
              <c:numCache>
                <c:formatCode>0</c:formatCode>
                <c:ptCount val="61"/>
                <c:pt idx="0">
                  <c:v>0</c:v>
                </c:pt>
                <c:pt idx="1">
                  <c:v>8.9452155522227734</c:v>
                </c:pt>
                <c:pt idx="2">
                  <c:v>16.671741718114106</c:v>
                </c:pt>
                <c:pt idx="3">
                  <c:v>23.617595207740159</c:v>
                </c:pt>
                <c:pt idx="4">
                  <c:v>29.13096441489926</c:v>
                </c:pt>
                <c:pt idx="5">
                  <c:v>33.568249742306307</c:v>
                </c:pt>
                <c:pt idx="6">
                  <c:v>36.742981457292707</c:v>
                </c:pt>
                <c:pt idx="7">
                  <c:v>39.124127797888931</c:v>
                </c:pt>
                <c:pt idx="8">
                  <c:v>40.883166142663725</c:v>
                </c:pt>
                <c:pt idx="9">
                  <c:v>42.108305078304582</c:v>
                </c:pt>
                <c:pt idx="10">
                  <c:v>43.245682399425789</c:v>
                </c:pt>
                <c:pt idx="11">
                  <c:v>44.27304036050208</c:v>
                </c:pt>
                <c:pt idx="12">
                  <c:v>45.249395411896998</c:v>
                </c:pt>
                <c:pt idx="13">
                  <c:v>46.18247138663542</c:v>
                </c:pt>
                <c:pt idx="14">
                  <c:v>47.031439506580057</c:v>
                </c:pt>
                <c:pt idx="15">
                  <c:v>47.58973031312901</c:v>
                </c:pt>
                <c:pt idx="16">
                  <c:v>48.090876071156075</c:v>
                </c:pt>
                <c:pt idx="17">
                  <c:v>48.576081200971942</c:v>
                </c:pt>
                <c:pt idx="18">
                  <c:v>49.039939723108283</c:v>
                </c:pt>
                <c:pt idx="19">
                  <c:v>49.343480941595189</c:v>
                </c:pt>
                <c:pt idx="20">
                  <c:v>49.615606268855267</c:v>
                </c:pt>
                <c:pt idx="21">
                  <c:v>49.826738267478092</c:v>
                </c:pt>
                <c:pt idx="22">
                  <c:v>50.035349773743462</c:v>
                </c:pt>
                <c:pt idx="23">
                  <c:v>50.234835451271792</c:v>
                </c:pt>
                <c:pt idx="24">
                  <c:v>50.431109432838518</c:v>
                </c:pt>
                <c:pt idx="25">
                  <c:v>50.627383414405244</c:v>
                </c:pt>
                <c:pt idx="26">
                  <c:v>50.823657395971971</c:v>
                </c:pt>
                <c:pt idx="27">
                  <c:v>51.019931377538697</c:v>
                </c:pt>
                <c:pt idx="28">
                  <c:v>51.216205359105423</c:v>
                </c:pt>
                <c:pt idx="29">
                  <c:v>51.412479340672149</c:v>
                </c:pt>
                <c:pt idx="30">
                  <c:v>51.608753322238876</c:v>
                </c:pt>
                <c:pt idx="31">
                  <c:v>51.805027303805602</c:v>
                </c:pt>
                <c:pt idx="32">
                  <c:v>52.001301285372328</c:v>
                </c:pt>
                <c:pt idx="33">
                  <c:v>52.197575266939054</c:v>
                </c:pt>
                <c:pt idx="34">
                  <c:v>52.393849248505781</c:v>
                </c:pt>
                <c:pt idx="35">
                  <c:v>52.590123230072507</c:v>
                </c:pt>
                <c:pt idx="36">
                  <c:v>52.786397211639233</c:v>
                </c:pt>
                <c:pt idx="37">
                  <c:v>52.98267119320596</c:v>
                </c:pt>
                <c:pt idx="38">
                  <c:v>53.178945174772686</c:v>
                </c:pt>
                <c:pt idx="39">
                  <c:v>53.375219156339412</c:v>
                </c:pt>
                <c:pt idx="40">
                  <c:v>53.571493137906138</c:v>
                </c:pt>
                <c:pt idx="41">
                  <c:v>53.767767119472865</c:v>
                </c:pt>
                <c:pt idx="42">
                  <c:v>53.964041101039591</c:v>
                </c:pt>
                <c:pt idx="43">
                  <c:v>54.160315082606317</c:v>
                </c:pt>
                <c:pt idx="44">
                  <c:v>54.356589064173043</c:v>
                </c:pt>
                <c:pt idx="45">
                  <c:v>54.55286304573977</c:v>
                </c:pt>
                <c:pt idx="46">
                  <c:v>54.749137027306496</c:v>
                </c:pt>
                <c:pt idx="47">
                  <c:v>54.945411008873222</c:v>
                </c:pt>
                <c:pt idx="48">
                  <c:v>55.141684990439948</c:v>
                </c:pt>
                <c:pt idx="49">
                  <c:v>55.337958972006675</c:v>
                </c:pt>
                <c:pt idx="50">
                  <c:v>55.534232953573401</c:v>
                </c:pt>
                <c:pt idx="51">
                  <c:v>55.730506935140127</c:v>
                </c:pt>
                <c:pt idx="52">
                  <c:v>55.926780916706853</c:v>
                </c:pt>
                <c:pt idx="53">
                  <c:v>56.12305489827358</c:v>
                </c:pt>
                <c:pt idx="54">
                  <c:v>56.319328879840306</c:v>
                </c:pt>
                <c:pt idx="55">
                  <c:v>56.515602861407032</c:v>
                </c:pt>
                <c:pt idx="56">
                  <c:v>56.711876842973759</c:v>
                </c:pt>
                <c:pt idx="57">
                  <c:v>56.908150824540485</c:v>
                </c:pt>
                <c:pt idx="58">
                  <c:v>57.104424806107211</c:v>
                </c:pt>
                <c:pt idx="59">
                  <c:v>57.300698787673937</c:v>
                </c:pt>
                <c:pt idx="60">
                  <c:v>57.496972769240664</c:v>
                </c:pt>
              </c:numCache>
            </c:numRef>
          </c:val>
          <c:extLst>
            <c:ext xmlns:c16="http://schemas.microsoft.com/office/drawing/2014/chart" uri="{C3380CC4-5D6E-409C-BE32-E72D297353CC}">
              <c16:uniqueId val="{00000007-F6D8-4E1F-BEE6-96B5A066713A}"/>
            </c:ext>
          </c:extLst>
        </c:ser>
        <c:dLbls>
          <c:showLegendKey val="0"/>
          <c:showVal val="0"/>
          <c:showCatName val="0"/>
          <c:showSerName val="0"/>
          <c:showPercent val="0"/>
          <c:showBubbleSize val="0"/>
        </c:dLbls>
        <c:axId val="854923952"/>
        <c:axId val="854924368"/>
      </c:areaChart>
      <c:catAx>
        <c:axId val="85492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924368"/>
        <c:crosses val="autoZero"/>
        <c:auto val="1"/>
        <c:lblAlgn val="ctr"/>
        <c:lblOffset val="100"/>
        <c:noMultiLvlLbl val="0"/>
      </c:catAx>
      <c:valAx>
        <c:axId val="854924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92395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Emissions by</a:t>
            </a:r>
            <a:r>
              <a:rPr lang="en-GB" baseline="0"/>
              <a:t> Dwelling Type</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OUTPUT!$C$22</c:f>
              <c:strCache>
                <c:ptCount val="1"/>
                <c:pt idx="0">
                  <c:v>Embodied Upfront tCO2e</c:v>
                </c:pt>
              </c:strCache>
            </c:strRef>
          </c:tx>
          <c:spPr>
            <a:solidFill>
              <a:schemeClr val="accent1"/>
            </a:solidFill>
            <a:ln>
              <a:noFill/>
            </a:ln>
            <a:effectLst/>
          </c:spPr>
          <c:invertIfNegative val="0"/>
          <c:cat>
            <c:strRef>
              <c:f>OUTPUT!$B$23:$B$26</c:f>
              <c:strCache>
                <c:ptCount val="4"/>
                <c:pt idx="0">
                  <c:v>Detached</c:v>
                </c:pt>
                <c:pt idx="1">
                  <c:v>Attached</c:v>
                </c:pt>
                <c:pt idx="2">
                  <c:v>1 Bed Flat</c:v>
                </c:pt>
                <c:pt idx="3">
                  <c:v>2 Bed Flat</c:v>
                </c:pt>
              </c:strCache>
            </c:strRef>
          </c:cat>
          <c:val>
            <c:numRef>
              <c:f>OUTPUT!$C$23:$C$26</c:f>
              <c:numCache>
                <c:formatCode>0</c:formatCode>
                <c:ptCount val="4"/>
                <c:pt idx="0">
                  <c:v>19907</c:v>
                </c:pt>
                <c:pt idx="1">
                  <c:v>43044</c:v>
                </c:pt>
                <c:pt idx="2">
                  <c:v>4250</c:v>
                </c:pt>
                <c:pt idx="3">
                  <c:v>5958.4999999999991</c:v>
                </c:pt>
              </c:numCache>
            </c:numRef>
          </c:val>
          <c:extLst>
            <c:ext xmlns:c16="http://schemas.microsoft.com/office/drawing/2014/chart" uri="{C3380CC4-5D6E-409C-BE32-E72D297353CC}">
              <c16:uniqueId val="{00000000-9CB2-4268-BFE1-78C50E787C26}"/>
            </c:ext>
          </c:extLst>
        </c:ser>
        <c:ser>
          <c:idx val="1"/>
          <c:order val="1"/>
          <c:tx>
            <c:strRef>
              <c:f>OUTPUT!$D$22</c:f>
              <c:strCache>
                <c:ptCount val="1"/>
                <c:pt idx="0">
                  <c:v>Embodied In-Use tCO2e</c:v>
                </c:pt>
              </c:strCache>
            </c:strRef>
          </c:tx>
          <c:spPr>
            <a:solidFill>
              <a:schemeClr val="accent2"/>
            </a:solidFill>
            <a:ln>
              <a:noFill/>
            </a:ln>
            <a:effectLst/>
          </c:spPr>
          <c:invertIfNegative val="0"/>
          <c:cat>
            <c:strRef>
              <c:f>OUTPUT!$B$23:$B$26</c:f>
              <c:strCache>
                <c:ptCount val="4"/>
                <c:pt idx="0">
                  <c:v>Detached</c:v>
                </c:pt>
                <c:pt idx="1">
                  <c:v>Attached</c:v>
                </c:pt>
                <c:pt idx="2">
                  <c:v>1 Bed Flat</c:v>
                </c:pt>
                <c:pt idx="3">
                  <c:v>2 Bed Flat</c:v>
                </c:pt>
              </c:strCache>
            </c:strRef>
          </c:cat>
          <c:val>
            <c:numRef>
              <c:f>OUTPUT!$D$23:$D$26</c:f>
              <c:numCache>
                <c:formatCode>0</c:formatCode>
                <c:ptCount val="4"/>
                <c:pt idx="0">
                  <c:v>3788.7715289982425</c:v>
                </c:pt>
                <c:pt idx="1">
                  <c:v>8192.2882249560644</c:v>
                </c:pt>
                <c:pt idx="2">
                  <c:v>808.87521968365547</c:v>
                </c:pt>
                <c:pt idx="3">
                  <c:v>1134.0430579964848</c:v>
                </c:pt>
              </c:numCache>
            </c:numRef>
          </c:val>
          <c:extLst>
            <c:ext xmlns:c16="http://schemas.microsoft.com/office/drawing/2014/chart" uri="{C3380CC4-5D6E-409C-BE32-E72D297353CC}">
              <c16:uniqueId val="{00000001-9CB2-4268-BFE1-78C50E787C26}"/>
            </c:ext>
          </c:extLst>
        </c:ser>
        <c:ser>
          <c:idx val="2"/>
          <c:order val="2"/>
          <c:tx>
            <c:strRef>
              <c:f>OUTPUT!$E$22</c:f>
              <c:strCache>
                <c:ptCount val="1"/>
                <c:pt idx="0">
                  <c:v>Embodied End of Life tCO2e</c:v>
                </c:pt>
              </c:strCache>
            </c:strRef>
          </c:tx>
          <c:spPr>
            <a:solidFill>
              <a:schemeClr val="accent3"/>
            </a:solidFill>
            <a:ln>
              <a:noFill/>
            </a:ln>
            <a:effectLst/>
          </c:spPr>
          <c:invertIfNegative val="0"/>
          <c:cat>
            <c:strRef>
              <c:f>OUTPUT!$B$23:$B$26</c:f>
              <c:strCache>
                <c:ptCount val="4"/>
                <c:pt idx="0">
                  <c:v>Detached</c:v>
                </c:pt>
                <c:pt idx="1">
                  <c:v>Attached</c:v>
                </c:pt>
                <c:pt idx="2">
                  <c:v>1 Bed Flat</c:v>
                </c:pt>
                <c:pt idx="3">
                  <c:v>2 Bed Flat</c:v>
                </c:pt>
              </c:strCache>
            </c:strRef>
          </c:cat>
          <c:val>
            <c:numRef>
              <c:f>OUTPUT!$E$23:$E$26</c:f>
              <c:numCache>
                <c:formatCode>0</c:formatCode>
                <c:ptCount val="4"/>
                <c:pt idx="0">
                  <c:v>4408.2284710017566</c:v>
                </c:pt>
                <c:pt idx="1">
                  <c:v>9531.7117750439356</c:v>
                </c:pt>
                <c:pt idx="2">
                  <c:v>941.1247803163443</c:v>
                </c:pt>
                <c:pt idx="3">
                  <c:v>1319.4569420035145</c:v>
                </c:pt>
              </c:numCache>
            </c:numRef>
          </c:val>
          <c:extLst>
            <c:ext xmlns:c16="http://schemas.microsoft.com/office/drawing/2014/chart" uri="{C3380CC4-5D6E-409C-BE32-E72D297353CC}">
              <c16:uniqueId val="{00000002-9CB2-4268-BFE1-78C50E787C26}"/>
            </c:ext>
          </c:extLst>
        </c:ser>
        <c:ser>
          <c:idx val="3"/>
          <c:order val="3"/>
          <c:tx>
            <c:strRef>
              <c:f>OUTPUT!$F$22</c:f>
              <c:strCache>
                <c:ptCount val="1"/>
                <c:pt idx="0">
                  <c:v>Operational lifetime tCO2e</c:v>
                </c:pt>
              </c:strCache>
            </c:strRef>
          </c:tx>
          <c:spPr>
            <a:solidFill>
              <a:schemeClr val="accent4"/>
            </a:solidFill>
            <a:ln>
              <a:noFill/>
            </a:ln>
            <a:effectLst/>
          </c:spPr>
          <c:invertIfNegative val="0"/>
          <c:cat>
            <c:strRef>
              <c:f>OUTPUT!$B$23:$B$26</c:f>
              <c:strCache>
                <c:ptCount val="4"/>
                <c:pt idx="0">
                  <c:v>Detached</c:v>
                </c:pt>
                <c:pt idx="1">
                  <c:v>Attached</c:v>
                </c:pt>
                <c:pt idx="2">
                  <c:v>1 Bed Flat</c:v>
                </c:pt>
                <c:pt idx="3">
                  <c:v>2 Bed Flat</c:v>
                </c:pt>
              </c:strCache>
            </c:strRef>
          </c:cat>
          <c:val>
            <c:numRef>
              <c:f>OUTPUT!$F$23:$F$26</c:f>
              <c:numCache>
                <c:formatCode>0</c:formatCode>
                <c:ptCount val="4"/>
                <c:pt idx="0">
                  <c:v>220.36547560888414</c:v>
                </c:pt>
                <c:pt idx="1">
                  <c:v>476.4862376103282</c:v>
                </c:pt>
                <c:pt idx="2">
                  <c:v>31.672213773795196</c:v>
                </c:pt>
                <c:pt idx="3">
                  <c:v>57.496972769240664</c:v>
                </c:pt>
              </c:numCache>
            </c:numRef>
          </c:val>
          <c:extLst>
            <c:ext xmlns:c16="http://schemas.microsoft.com/office/drawing/2014/chart" uri="{C3380CC4-5D6E-409C-BE32-E72D297353CC}">
              <c16:uniqueId val="{00000003-9CB2-4268-BFE1-78C50E787C26}"/>
            </c:ext>
          </c:extLst>
        </c:ser>
        <c:dLbls>
          <c:showLegendKey val="0"/>
          <c:showVal val="0"/>
          <c:showCatName val="0"/>
          <c:showSerName val="0"/>
          <c:showPercent val="0"/>
          <c:showBubbleSize val="0"/>
        </c:dLbls>
        <c:gapWidth val="150"/>
        <c:overlap val="100"/>
        <c:axId val="1608277567"/>
        <c:axId val="1608278815"/>
      </c:barChart>
      <c:catAx>
        <c:axId val="160827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278815"/>
        <c:crosses val="autoZero"/>
        <c:auto val="1"/>
        <c:lblAlgn val="ctr"/>
        <c:lblOffset val="100"/>
        <c:noMultiLvlLbl val="0"/>
      </c:catAx>
      <c:valAx>
        <c:axId val="160827881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GHG Emissions (tCO2e)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2775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Emissions</a:t>
            </a:r>
            <a:r>
              <a:rPr lang="en-GB" baseline="0"/>
              <a:t> by Category</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OUTPUT!$B$23</c:f>
              <c:strCache>
                <c:ptCount val="1"/>
                <c:pt idx="0">
                  <c:v>Detached</c:v>
                </c:pt>
              </c:strCache>
            </c:strRef>
          </c:tx>
          <c:spPr>
            <a:solidFill>
              <a:schemeClr val="accent1"/>
            </a:solidFill>
            <a:ln>
              <a:noFill/>
            </a:ln>
            <a:effectLst/>
          </c:spPr>
          <c:invertIfNegative val="0"/>
          <c:cat>
            <c:strRef>
              <c:f>OUTPUT!$C$22:$F$22</c:f>
              <c:strCache>
                <c:ptCount val="4"/>
                <c:pt idx="0">
                  <c:v>Embodied Upfront tCO2e</c:v>
                </c:pt>
                <c:pt idx="1">
                  <c:v>Embodied In-Use tCO2e</c:v>
                </c:pt>
                <c:pt idx="2">
                  <c:v>Embodied End of Life tCO2e</c:v>
                </c:pt>
                <c:pt idx="3">
                  <c:v>Operational lifetime tCO2e</c:v>
                </c:pt>
              </c:strCache>
            </c:strRef>
          </c:cat>
          <c:val>
            <c:numRef>
              <c:f>OUTPUT!$C$23:$F$23</c:f>
              <c:numCache>
                <c:formatCode>0</c:formatCode>
                <c:ptCount val="4"/>
                <c:pt idx="0">
                  <c:v>19907</c:v>
                </c:pt>
                <c:pt idx="1">
                  <c:v>3788.7715289982425</c:v>
                </c:pt>
                <c:pt idx="2">
                  <c:v>4408.2284710017566</c:v>
                </c:pt>
                <c:pt idx="3">
                  <c:v>220.36547560888414</c:v>
                </c:pt>
              </c:numCache>
            </c:numRef>
          </c:val>
          <c:extLst>
            <c:ext xmlns:c16="http://schemas.microsoft.com/office/drawing/2014/chart" uri="{C3380CC4-5D6E-409C-BE32-E72D297353CC}">
              <c16:uniqueId val="{00000000-9E52-47AC-B860-6886CA571A0A}"/>
            </c:ext>
          </c:extLst>
        </c:ser>
        <c:ser>
          <c:idx val="1"/>
          <c:order val="1"/>
          <c:tx>
            <c:strRef>
              <c:f>OUTPUT!$B$24</c:f>
              <c:strCache>
                <c:ptCount val="1"/>
                <c:pt idx="0">
                  <c:v>Attached</c:v>
                </c:pt>
              </c:strCache>
            </c:strRef>
          </c:tx>
          <c:spPr>
            <a:solidFill>
              <a:schemeClr val="accent2"/>
            </a:solidFill>
            <a:ln>
              <a:noFill/>
            </a:ln>
            <a:effectLst/>
          </c:spPr>
          <c:invertIfNegative val="0"/>
          <c:cat>
            <c:strRef>
              <c:f>OUTPUT!$C$22:$F$22</c:f>
              <c:strCache>
                <c:ptCount val="4"/>
                <c:pt idx="0">
                  <c:v>Embodied Upfront tCO2e</c:v>
                </c:pt>
                <c:pt idx="1">
                  <c:v>Embodied In-Use tCO2e</c:v>
                </c:pt>
                <c:pt idx="2">
                  <c:v>Embodied End of Life tCO2e</c:v>
                </c:pt>
                <c:pt idx="3">
                  <c:v>Operational lifetime tCO2e</c:v>
                </c:pt>
              </c:strCache>
            </c:strRef>
          </c:cat>
          <c:val>
            <c:numRef>
              <c:f>OUTPUT!$C$24:$F$24</c:f>
              <c:numCache>
                <c:formatCode>0</c:formatCode>
                <c:ptCount val="4"/>
                <c:pt idx="0">
                  <c:v>43044</c:v>
                </c:pt>
                <c:pt idx="1">
                  <c:v>8192.2882249560644</c:v>
                </c:pt>
                <c:pt idx="2">
                  <c:v>9531.7117750439356</c:v>
                </c:pt>
                <c:pt idx="3">
                  <c:v>476.4862376103282</c:v>
                </c:pt>
              </c:numCache>
            </c:numRef>
          </c:val>
          <c:extLst>
            <c:ext xmlns:c16="http://schemas.microsoft.com/office/drawing/2014/chart" uri="{C3380CC4-5D6E-409C-BE32-E72D297353CC}">
              <c16:uniqueId val="{00000001-9E52-47AC-B860-6886CA571A0A}"/>
            </c:ext>
          </c:extLst>
        </c:ser>
        <c:ser>
          <c:idx val="2"/>
          <c:order val="2"/>
          <c:tx>
            <c:strRef>
              <c:f>OUTPUT!$B$25</c:f>
              <c:strCache>
                <c:ptCount val="1"/>
                <c:pt idx="0">
                  <c:v>1 Bed Flat</c:v>
                </c:pt>
              </c:strCache>
            </c:strRef>
          </c:tx>
          <c:spPr>
            <a:solidFill>
              <a:schemeClr val="accent3"/>
            </a:solidFill>
            <a:ln>
              <a:noFill/>
            </a:ln>
            <a:effectLst/>
          </c:spPr>
          <c:invertIfNegative val="0"/>
          <c:cat>
            <c:strRef>
              <c:f>OUTPUT!$C$22:$F$22</c:f>
              <c:strCache>
                <c:ptCount val="4"/>
                <c:pt idx="0">
                  <c:v>Embodied Upfront tCO2e</c:v>
                </c:pt>
                <c:pt idx="1">
                  <c:v>Embodied In-Use tCO2e</c:v>
                </c:pt>
                <c:pt idx="2">
                  <c:v>Embodied End of Life tCO2e</c:v>
                </c:pt>
                <c:pt idx="3">
                  <c:v>Operational lifetime tCO2e</c:v>
                </c:pt>
              </c:strCache>
            </c:strRef>
          </c:cat>
          <c:val>
            <c:numRef>
              <c:f>OUTPUT!$C$25:$F$25</c:f>
              <c:numCache>
                <c:formatCode>0</c:formatCode>
                <c:ptCount val="4"/>
                <c:pt idx="0">
                  <c:v>4250</c:v>
                </c:pt>
                <c:pt idx="1">
                  <c:v>808.87521968365547</c:v>
                </c:pt>
                <c:pt idx="2">
                  <c:v>941.1247803163443</c:v>
                </c:pt>
                <c:pt idx="3">
                  <c:v>31.672213773795196</c:v>
                </c:pt>
              </c:numCache>
            </c:numRef>
          </c:val>
          <c:extLst>
            <c:ext xmlns:c16="http://schemas.microsoft.com/office/drawing/2014/chart" uri="{C3380CC4-5D6E-409C-BE32-E72D297353CC}">
              <c16:uniqueId val="{00000002-9E52-47AC-B860-6886CA571A0A}"/>
            </c:ext>
          </c:extLst>
        </c:ser>
        <c:ser>
          <c:idx val="3"/>
          <c:order val="3"/>
          <c:tx>
            <c:strRef>
              <c:f>OUTPUT!$B$26</c:f>
              <c:strCache>
                <c:ptCount val="1"/>
                <c:pt idx="0">
                  <c:v>2 Bed Flat</c:v>
                </c:pt>
              </c:strCache>
            </c:strRef>
          </c:tx>
          <c:spPr>
            <a:solidFill>
              <a:schemeClr val="accent4"/>
            </a:solidFill>
            <a:ln>
              <a:noFill/>
            </a:ln>
            <a:effectLst/>
          </c:spPr>
          <c:invertIfNegative val="0"/>
          <c:cat>
            <c:strRef>
              <c:f>OUTPUT!$C$22:$F$22</c:f>
              <c:strCache>
                <c:ptCount val="4"/>
                <c:pt idx="0">
                  <c:v>Embodied Upfront tCO2e</c:v>
                </c:pt>
                <c:pt idx="1">
                  <c:v>Embodied In-Use tCO2e</c:v>
                </c:pt>
                <c:pt idx="2">
                  <c:v>Embodied End of Life tCO2e</c:v>
                </c:pt>
                <c:pt idx="3">
                  <c:v>Operational lifetime tCO2e</c:v>
                </c:pt>
              </c:strCache>
            </c:strRef>
          </c:cat>
          <c:val>
            <c:numRef>
              <c:f>OUTPUT!$C$26:$F$26</c:f>
              <c:numCache>
                <c:formatCode>0</c:formatCode>
                <c:ptCount val="4"/>
                <c:pt idx="0">
                  <c:v>5958.4999999999991</c:v>
                </c:pt>
                <c:pt idx="1">
                  <c:v>1134.0430579964848</c:v>
                </c:pt>
                <c:pt idx="2">
                  <c:v>1319.4569420035145</c:v>
                </c:pt>
                <c:pt idx="3">
                  <c:v>57.496972769240664</c:v>
                </c:pt>
              </c:numCache>
            </c:numRef>
          </c:val>
          <c:extLst>
            <c:ext xmlns:c16="http://schemas.microsoft.com/office/drawing/2014/chart" uri="{C3380CC4-5D6E-409C-BE32-E72D297353CC}">
              <c16:uniqueId val="{00000003-9E52-47AC-B860-6886CA571A0A}"/>
            </c:ext>
          </c:extLst>
        </c:ser>
        <c:dLbls>
          <c:showLegendKey val="0"/>
          <c:showVal val="0"/>
          <c:showCatName val="0"/>
          <c:showSerName val="0"/>
          <c:showPercent val="0"/>
          <c:showBubbleSize val="0"/>
        </c:dLbls>
        <c:gapWidth val="150"/>
        <c:overlap val="100"/>
        <c:axId val="1608277567"/>
        <c:axId val="1608278815"/>
      </c:barChart>
      <c:catAx>
        <c:axId val="160827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278815"/>
        <c:crosses val="autoZero"/>
        <c:auto val="1"/>
        <c:lblAlgn val="ctr"/>
        <c:lblOffset val="100"/>
        <c:noMultiLvlLbl val="0"/>
      </c:catAx>
      <c:valAx>
        <c:axId val="160827881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GHG Emissions (tCO2e)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2775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Upfront, Energy and Carbon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OUTPUT!$B$39</c:f>
              <c:strCache>
                <c:ptCount val="1"/>
                <c:pt idx="0">
                  <c:v>Detached</c:v>
                </c:pt>
              </c:strCache>
            </c:strRef>
          </c:tx>
          <c:spPr>
            <a:solidFill>
              <a:schemeClr val="accent1"/>
            </a:solidFill>
            <a:ln>
              <a:noFill/>
            </a:ln>
            <a:effectLst/>
          </c:spPr>
          <c:invertIfNegative val="0"/>
          <c:cat>
            <c:strRef>
              <c:f>(OUTPUT!$C$38,OUTPUT!$E$38:$G$38)</c:f>
              <c:strCache>
                <c:ptCount val="4"/>
                <c:pt idx="0">
                  <c:v>Development Additional Cost over Minimum</c:v>
                </c:pt>
                <c:pt idx="1">
                  <c:v>Discounted energy cost 30 years</c:v>
                </c:pt>
                <c:pt idx="2">
                  <c:v>Discounted energy cost 60 years</c:v>
                </c:pt>
                <c:pt idx="3">
                  <c:v>Discounted carbon cost 60 years</c:v>
                </c:pt>
              </c:strCache>
            </c:strRef>
          </c:cat>
          <c:val>
            <c:numRef>
              <c:f>(OUTPUT!$C$39,OUTPUT!$E$39:$G$39)</c:f>
              <c:numCache>
                <c:formatCode>_-"£"* #,##0_-;\-"£"* #,##0_-;_-"£"* "-"??_-;_-@_-</c:formatCode>
                <c:ptCount val="4"/>
                <c:pt idx="0">
                  <c:v>130055.86452520511</c:v>
                </c:pt>
                <c:pt idx="1">
                  <c:v>2024566.9805900697</c:v>
                </c:pt>
                <c:pt idx="2">
                  <c:v>2847719.7631486189</c:v>
                </c:pt>
                <c:pt idx="3">
                  <c:v>890982.62765991734</c:v>
                </c:pt>
              </c:numCache>
            </c:numRef>
          </c:val>
          <c:extLst>
            <c:ext xmlns:c16="http://schemas.microsoft.com/office/drawing/2014/chart" uri="{C3380CC4-5D6E-409C-BE32-E72D297353CC}">
              <c16:uniqueId val="{00000000-4AA1-485D-833B-1E30AB879A59}"/>
            </c:ext>
          </c:extLst>
        </c:ser>
        <c:ser>
          <c:idx val="1"/>
          <c:order val="1"/>
          <c:tx>
            <c:strRef>
              <c:f>OUTPUT!$B$40</c:f>
              <c:strCache>
                <c:ptCount val="1"/>
                <c:pt idx="0">
                  <c:v>Attached</c:v>
                </c:pt>
              </c:strCache>
            </c:strRef>
          </c:tx>
          <c:spPr>
            <a:solidFill>
              <a:schemeClr val="accent2"/>
            </a:solidFill>
            <a:ln>
              <a:noFill/>
            </a:ln>
            <a:effectLst/>
          </c:spPr>
          <c:invertIfNegative val="0"/>
          <c:cat>
            <c:strRef>
              <c:f>(OUTPUT!$C$38,OUTPUT!$E$38:$G$38)</c:f>
              <c:strCache>
                <c:ptCount val="4"/>
                <c:pt idx="0">
                  <c:v>Development Additional Cost over Minimum</c:v>
                </c:pt>
                <c:pt idx="1">
                  <c:v>Discounted energy cost 30 years</c:v>
                </c:pt>
                <c:pt idx="2">
                  <c:v>Discounted energy cost 60 years</c:v>
                </c:pt>
                <c:pt idx="3">
                  <c:v>Discounted carbon cost 60 years</c:v>
                </c:pt>
              </c:strCache>
            </c:strRef>
          </c:cat>
          <c:val>
            <c:numRef>
              <c:f>(OUTPUT!$C$40,OUTPUT!$E$40:$G$40)</c:f>
              <c:numCache>
                <c:formatCode>_-"£"* #,##0_-;\-"£"* #,##0_-;_-"£"* "-"??_-;_-@_-</c:formatCode>
                <c:ptCount val="4"/>
                <c:pt idx="0">
                  <c:v>281213.87615526473</c:v>
                </c:pt>
                <c:pt idx="1">
                  <c:v>4389694.4653040925</c:v>
                </c:pt>
                <c:pt idx="2">
                  <c:v>6174465.8501677271</c:v>
                </c:pt>
                <c:pt idx="3">
                  <c:v>1926531.1812424525</c:v>
                </c:pt>
              </c:numCache>
            </c:numRef>
          </c:val>
          <c:extLst>
            <c:ext xmlns:c16="http://schemas.microsoft.com/office/drawing/2014/chart" uri="{C3380CC4-5D6E-409C-BE32-E72D297353CC}">
              <c16:uniqueId val="{00000001-4AA1-485D-833B-1E30AB879A59}"/>
            </c:ext>
          </c:extLst>
        </c:ser>
        <c:ser>
          <c:idx val="2"/>
          <c:order val="2"/>
          <c:tx>
            <c:strRef>
              <c:f>OUTPUT!$B$41</c:f>
              <c:strCache>
                <c:ptCount val="1"/>
                <c:pt idx="0">
                  <c:v>1 Bed Flat</c:v>
                </c:pt>
              </c:strCache>
            </c:strRef>
          </c:tx>
          <c:spPr>
            <a:solidFill>
              <a:schemeClr val="accent3"/>
            </a:solidFill>
            <a:ln>
              <a:noFill/>
            </a:ln>
            <a:effectLst/>
          </c:spPr>
          <c:invertIfNegative val="0"/>
          <c:cat>
            <c:strRef>
              <c:f>(OUTPUT!$C$38,OUTPUT!$E$38:$G$38)</c:f>
              <c:strCache>
                <c:ptCount val="4"/>
                <c:pt idx="0">
                  <c:v>Development Additional Cost over Minimum</c:v>
                </c:pt>
                <c:pt idx="1">
                  <c:v>Discounted energy cost 30 years</c:v>
                </c:pt>
                <c:pt idx="2">
                  <c:v>Discounted energy cost 60 years</c:v>
                </c:pt>
                <c:pt idx="3">
                  <c:v>Discounted carbon cost 60 years</c:v>
                </c:pt>
              </c:strCache>
            </c:strRef>
          </c:cat>
          <c:val>
            <c:numRef>
              <c:f>(OUTPUT!$C$41,OUTPUT!$E$41:$G$41)</c:f>
              <c:numCache>
                <c:formatCode>_-"£"* #,##0_-;\-"£"* #,##0_-;_-"£"* "-"??_-;_-@_-</c:formatCode>
                <c:ptCount val="4"/>
                <c:pt idx="0">
                  <c:v>46868.979359211153</c:v>
                </c:pt>
                <c:pt idx="1">
                  <c:v>366655.93519175425</c:v>
                </c:pt>
                <c:pt idx="2">
                  <c:v>515731.69123650331</c:v>
                </c:pt>
                <c:pt idx="3">
                  <c:v>189583.34473339625</c:v>
                </c:pt>
              </c:numCache>
            </c:numRef>
          </c:val>
          <c:extLst>
            <c:ext xmlns:c16="http://schemas.microsoft.com/office/drawing/2014/chart" uri="{C3380CC4-5D6E-409C-BE32-E72D297353CC}">
              <c16:uniqueId val="{00000002-4AA1-485D-833B-1E30AB879A59}"/>
            </c:ext>
          </c:extLst>
        </c:ser>
        <c:ser>
          <c:idx val="3"/>
          <c:order val="3"/>
          <c:tx>
            <c:strRef>
              <c:f>OUTPUT!$B$42</c:f>
              <c:strCache>
                <c:ptCount val="1"/>
                <c:pt idx="0">
                  <c:v>2 Bed Flat</c:v>
                </c:pt>
              </c:strCache>
            </c:strRef>
          </c:tx>
          <c:spPr>
            <a:solidFill>
              <a:schemeClr val="accent4"/>
            </a:solidFill>
            <a:ln>
              <a:noFill/>
            </a:ln>
            <a:effectLst/>
          </c:spPr>
          <c:invertIfNegative val="0"/>
          <c:cat>
            <c:strRef>
              <c:f>(OUTPUT!$C$38,OUTPUT!$E$38:$G$38)</c:f>
              <c:strCache>
                <c:ptCount val="4"/>
                <c:pt idx="0">
                  <c:v>Development Additional Cost over Minimum</c:v>
                </c:pt>
                <c:pt idx="1">
                  <c:v>Discounted energy cost 30 years</c:v>
                </c:pt>
                <c:pt idx="2">
                  <c:v>Discounted energy cost 60 years</c:v>
                </c:pt>
                <c:pt idx="3">
                  <c:v>Discounted carbon cost 60 years</c:v>
                </c:pt>
              </c:strCache>
            </c:strRef>
          </c:cat>
          <c:val>
            <c:numRef>
              <c:f>(OUTPUT!$C$42,OUTPUT!$E$42:$G$42)</c:f>
              <c:numCache>
                <c:formatCode>_-"£"* #,##0_-;\-"£"* #,##0_-;_-"£"* "-"??_-;_-@_-</c:formatCode>
                <c:ptCount val="4"/>
                <c:pt idx="0">
                  <c:v>115977.88681597376</c:v>
                </c:pt>
                <c:pt idx="1">
                  <c:v>602688.71454270126</c:v>
                </c:pt>
                <c:pt idx="2">
                  <c:v>847731.18394416664</c:v>
                </c:pt>
                <c:pt idx="3">
                  <c:v>266336.59098392597</c:v>
                </c:pt>
              </c:numCache>
            </c:numRef>
          </c:val>
          <c:extLst>
            <c:ext xmlns:c16="http://schemas.microsoft.com/office/drawing/2014/chart" uri="{C3380CC4-5D6E-409C-BE32-E72D297353CC}">
              <c16:uniqueId val="{00000003-4AA1-485D-833B-1E30AB879A59}"/>
            </c:ext>
          </c:extLst>
        </c:ser>
        <c:dLbls>
          <c:showLegendKey val="0"/>
          <c:showVal val="0"/>
          <c:showCatName val="0"/>
          <c:showSerName val="0"/>
          <c:showPercent val="0"/>
          <c:showBubbleSize val="0"/>
        </c:dLbls>
        <c:gapWidth val="150"/>
        <c:overlap val="100"/>
        <c:axId val="1341243215"/>
        <c:axId val="1341243631"/>
      </c:barChart>
      <c:lineChart>
        <c:grouping val="standard"/>
        <c:varyColors val="0"/>
        <c:ser>
          <c:idx val="4"/>
          <c:order val="4"/>
          <c:tx>
            <c:v>Net Costs</c:v>
          </c:tx>
          <c:spPr>
            <a:ln w="28575" cap="rnd">
              <a:noFill/>
              <a:round/>
            </a:ln>
            <a:effectLst/>
          </c:spPr>
          <c:marker>
            <c:symbol val="x"/>
            <c:size val="11"/>
            <c:spPr>
              <a:noFill/>
              <a:ln w="28575">
                <a:solidFill>
                  <a:schemeClr val="tx1"/>
                </a:solidFill>
              </a:ln>
              <a:effectLst/>
            </c:spPr>
          </c:marker>
          <c:val>
            <c:numRef>
              <c:f>(OUTPUT!$C$43,OUTPUT!$E$43:$G$43)</c:f>
              <c:numCache>
                <c:formatCode>_-"£"* #,##0_-;\-"£"* #,##0_-;_-"£"* "-"??_-;_-@_-</c:formatCode>
                <c:ptCount val="4"/>
                <c:pt idx="0">
                  <c:v>574116.60685565474</c:v>
                </c:pt>
                <c:pt idx="1">
                  <c:v>7383606.0956286173</c:v>
                </c:pt>
                <c:pt idx="2">
                  <c:v>10385648.488497015</c:v>
                </c:pt>
                <c:pt idx="3">
                  <c:v>3273433.7446196917</c:v>
                </c:pt>
              </c:numCache>
            </c:numRef>
          </c:val>
          <c:smooth val="0"/>
          <c:extLst>
            <c:ext xmlns:c16="http://schemas.microsoft.com/office/drawing/2014/chart" uri="{C3380CC4-5D6E-409C-BE32-E72D297353CC}">
              <c16:uniqueId val="{00000005-4AA1-485D-833B-1E30AB879A59}"/>
            </c:ext>
          </c:extLst>
        </c:ser>
        <c:dLbls>
          <c:showLegendKey val="0"/>
          <c:showVal val="0"/>
          <c:showCatName val="0"/>
          <c:showSerName val="0"/>
          <c:showPercent val="0"/>
          <c:showBubbleSize val="0"/>
        </c:dLbls>
        <c:marker val="1"/>
        <c:smooth val="0"/>
        <c:axId val="1341243215"/>
        <c:axId val="1341243631"/>
      </c:lineChart>
      <c:catAx>
        <c:axId val="134124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243631"/>
        <c:crosses val="autoZero"/>
        <c:auto val="1"/>
        <c:lblAlgn val="ctr"/>
        <c:lblOffset val="100"/>
        <c:noMultiLvlLbl val="0"/>
      </c:catAx>
      <c:valAx>
        <c:axId val="1341243631"/>
        <c:scaling>
          <c:orientation val="minMax"/>
        </c:scaling>
        <c:delete val="0"/>
        <c:axPos val="l"/>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24321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local.gov.uk/our-support/safer-and-more-sustainable-communities/housing-advisers-programme"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chart" Target="../charts/chart1.xml"/><Relationship Id="rId1" Type="http://schemas.openxmlformats.org/officeDocument/2006/relationships/image" Target="../media/image19.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123826</xdr:colOff>
      <xdr:row>1</xdr:row>
      <xdr:rowOff>76200</xdr:rowOff>
    </xdr:from>
    <xdr:to>
      <xdr:col>3</xdr:col>
      <xdr:colOff>247651</xdr:colOff>
      <xdr:row>1</xdr:row>
      <xdr:rowOff>1799415</xdr:rowOff>
    </xdr:to>
    <xdr:pic>
      <xdr:nvPicPr>
        <xdr:cNvPr id="2" name="Picture 1" descr="MDDC logo" title="Mid Devon District Council">
          <a:extLst>
            <a:ext uri="{FF2B5EF4-FFF2-40B4-BE49-F238E27FC236}">
              <a16:creationId xmlns:a16="http://schemas.microsoft.com/office/drawing/2014/main" id="{1C6C809C-691C-4950-A8EC-7B0734C49128}"/>
            </a:ext>
          </a:extLst>
        </xdr:cNvPr>
        <xdr:cNvPicPr>
          <a:picLocks noChangeAspect="1"/>
        </xdr:cNvPicPr>
      </xdr:nvPicPr>
      <xdr:blipFill>
        <a:blip xmlns:r="http://schemas.openxmlformats.org/officeDocument/2006/relationships" r:embed="rId1"/>
        <a:stretch>
          <a:fillRect/>
        </a:stretch>
      </xdr:blipFill>
      <xdr:spPr>
        <a:xfrm>
          <a:off x="733426" y="266700"/>
          <a:ext cx="2019300" cy="1723215"/>
        </a:xfrm>
        <a:prstGeom prst="rect">
          <a:avLst/>
        </a:prstGeom>
      </xdr:spPr>
    </xdr:pic>
    <xdr:clientData/>
  </xdr:twoCellAnchor>
  <xdr:twoCellAnchor editAs="oneCell">
    <xdr:from>
      <xdr:col>11</xdr:col>
      <xdr:colOff>247651</xdr:colOff>
      <xdr:row>1</xdr:row>
      <xdr:rowOff>544526</xdr:rowOff>
    </xdr:from>
    <xdr:to>
      <xdr:col>15</xdr:col>
      <xdr:colOff>466725</xdr:colOff>
      <xdr:row>1</xdr:row>
      <xdr:rowOff>1628775</xdr:rowOff>
    </xdr:to>
    <xdr:pic>
      <xdr:nvPicPr>
        <xdr:cNvPr id="5" name="Picture 4" descr="University of Exeter logo 19-20 | The Apprenticeship Guide">
          <a:extLst>
            <a:ext uri="{FF2B5EF4-FFF2-40B4-BE49-F238E27FC236}">
              <a16:creationId xmlns:a16="http://schemas.microsoft.com/office/drawing/2014/main" id="{B7FDDFBC-E9EB-449E-BB15-C5E0952FDA7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320" b="30880"/>
        <a:stretch/>
      </xdr:blipFill>
      <xdr:spPr bwMode="auto">
        <a:xfrm>
          <a:off x="7629526" y="735026"/>
          <a:ext cx="2657474" cy="1084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5</xdr:row>
      <xdr:rowOff>0</xdr:rowOff>
    </xdr:from>
    <xdr:to>
      <xdr:col>16</xdr:col>
      <xdr:colOff>184547</xdr:colOff>
      <xdr:row>43</xdr:row>
      <xdr:rowOff>87923</xdr:rowOff>
    </xdr:to>
    <xdr:sp macro="" textlink="">
      <xdr:nvSpPr>
        <xdr:cNvPr id="6" name="TextBox 5">
          <a:hlinkClick xmlns:r="http://schemas.openxmlformats.org/officeDocument/2006/relationships" r:id="rId3"/>
          <a:extLst>
            <a:ext uri="{FF2B5EF4-FFF2-40B4-BE49-F238E27FC236}">
              <a16:creationId xmlns:a16="http://schemas.microsoft.com/office/drawing/2014/main" id="{C32670DE-BC47-485D-BE1B-E21D785621E5}"/>
            </a:ext>
          </a:extLst>
        </xdr:cNvPr>
        <xdr:cNvSpPr txBox="1"/>
      </xdr:nvSpPr>
      <xdr:spPr>
        <a:xfrm>
          <a:off x="616744" y="2774156"/>
          <a:ext cx="9961959" cy="65649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Background</a:t>
          </a:r>
        </a:p>
        <a:p>
          <a:pPr marL="0" marR="0" lvl="0" indent="0" defTabSz="914400" eaLnBrk="1" fontAlgn="auto" latinLnBrk="0" hangingPunct="1">
            <a:lnSpc>
              <a:spcPct val="100000"/>
            </a:lnSpc>
            <a:spcBef>
              <a:spcPts val="0"/>
            </a:spcBef>
            <a:spcAft>
              <a:spcPts val="0"/>
            </a:spcAft>
            <a:buClrTx/>
            <a:buSzTx/>
            <a:buFontTx/>
            <a:buNone/>
            <a:tabLst/>
            <a:defRPr/>
          </a:pPr>
          <a:r>
            <a:rPr lang="en-GB" sz="1100"/>
            <a:t>Mid Devon</a:t>
          </a:r>
          <a:r>
            <a:rPr lang="en-GB" sz="1100" baseline="0"/>
            <a:t> District Council (MDDC) developed a tool with the University of Exeter to assess the costs and climate impacts of various "low carbon" standards for new housing developments. </a:t>
          </a:r>
          <a:r>
            <a:rPr lang="en-GB" sz="1100" baseline="0">
              <a:solidFill>
                <a:schemeClr val="dk1"/>
              </a:solidFill>
              <a:effectLst/>
              <a:latin typeface="+mn-lt"/>
              <a:ea typeface="+mn-ea"/>
              <a:cs typeface="+mn-cs"/>
            </a:rPr>
            <a:t>The project was funded through the Local Government Association's Housing Advisers Programme and will be available to other local authorities.  </a:t>
          </a:r>
          <a:endParaRPr lang="en-GB" sz="1100" baseline="0"/>
        </a:p>
        <a:p>
          <a:endParaRPr lang="en-GB" sz="1100"/>
        </a:p>
        <a:p>
          <a:r>
            <a:rPr lang="en-GB" sz="1100" b="1"/>
            <a:t>How the Tool Works</a:t>
          </a:r>
        </a:p>
        <a:p>
          <a:r>
            <a:rPr lang="en-GB" sz="1100"/>
            <a:t>The tool calculates</a:t>
          </a:r>
          <a:r>
            <a:rPr lang="en-GB" sz="1100" baseline="0"/>
            <a:t> carbon performance (based on regulated emissions from Part L of the Building Regulations, and embodied carbon if selected) of four dwelling typologies: detached, attached, 1 bed flats and 2 bed flats for a range of fabric and building services specifications. The tool then sizes the required PV array to meet Part L, and any further improvements that have been stipulated. It then establishes the cost uplift to achieve performance standards compared to the lowest cost means of meeting the minimum requirements of the Building Regulations. </a:t>
          </a:r>
        </a:p>
        <a:p>
          <a:endParaRPr lang="en-GB" sz="1100" baseline="0"/>
        </a:p>
        <a:p>
          <a:r>
            <a:rPr lang="en-GB" sz="1100" baseline="0"/>
            <a:t>A full description of the model and calculations can be found in report CEE ID 1009 "</a:t>
          </a:r>
          <a:r>
            <a:rPr lang="en-GB" sz="1100">
              <a:solidFill>
                <a:schemeClr val="dk1"/>
              </a:solidFill>
              <a:effectLst/>
              <a:latin typeface="+mn-lt"/>
              <a:ea typeface="+mn-ea"/>
              <a:cs typeface="+mn-cs"/>
            </a:rPr>
            <a:t>The Development of a ‘Low Carbon Affordable Housing Development Framework Assessment Tool’ for New Development in Mid Devon", March 2022. The</a:t>
          </a:r>
          <a:r>
            <a:rPr lang="en-GB" sz="1100" baseline="0">
              <a:solidFill>
                <a:schemeClr val="dk1"/>
              </a:solidFill>
              <a:effectLst/>
              <a:latin typeface="+mn-lt"/>
              <a:ea typeface="+mn-ea"/>
              <a:cs typeface="+mn-cs"/>
            </a:rPr>
            <a:t> model is a high level tool that makes a number of assumptions and is NOT intended as a substitute for detailed SAP calculations.</a:t>
          </a:r>
          <a:endParaRPr lang="en-GB" sz="1100"/>
        </a:p>
        <a:p>
          <a:endParaRPr lang="en-GB" sz="1100"/>
        </a:p>
        <a:p>
          <a:r>
            <a:rPr lang="en-GB" sz="1100" b="1"/>
            <a:t>How to Use the Tool</a:t>
          </a:r>
        </a:p>
        <a:p>
          <a:r>
            <a:rPr lang="en-GB" sz="1100" b="1" i="1"/>
            <a:t>The Input Sheet</a:t>
          </a:r>
        </a:p>
        <a:p>
          <a:r>
            <a:rPr lang="en-GB" sz="1100"/>
            <a:t>On the input sheet</a:t>
          </a:r>
          <a:r>
            <a:rPr lang="en-GB" sz="1100" baseline="0"/>
            <a:t> all yellow boxes are required inputs, and orange boxes are voluntary inputs. </a:t>
          </a:r>
          <a:r>
            <a:rPr lang="en-GB" sz="1100" b="1" baseline="0"/>
            <a:t>Specific guidance for completion of each input is given on the Input sheet. </a:t>
          </a:r>
        </a:p>
        <a:p>
          <a:r>
            <a:rPr lang="en-GB" sz="1100" baseline="0"/>
            <a:t>In summary, these inputs are:</a:t>
          </a:r>
        </a:p>
        <a:p>
          <a:endParaRPr lang="en-GB" sz="1100" baseline="0"/>
        </a:p>
        <a:p>
          <a:r>
            <a:rPr lang="en-GB" sz="1100" b="0" i="1" baseline="0"/>
            <a:t>Development Description</a:t>
          </a:r>
        </a:p>
        <a:p>
          <a:r>
            <a:rPr lang="en-GB" sz="1100"/>
            <a:t>#</a:t>
          </a:r>
          <a:r>
            <a:rPr lang="en-GB" sz="1100" baseline="0"/>
            <a:t> Year of development: The tool assumes a development is delivered in a single year.</a:t>
          </a:r>
        </a:p>
        <a:p>
          <a:r>
            <a:rPr lang="en-GB" sz="1100" baseline="0"/>
            <a:t># Number of dwellings: This is the total number of dwellings in the development.</a:t>
          </a:r>
        </a:p>
        <a:p>
          <a:r>
            <a:rPr lang="en-GB" sz="1100" baseline="0"/>
            <a:t># Build mix: This is the % breakdown for each of the four dwelling types. These percentages must sum to 100%.</a:t>
          </a:r>
        </a:p>
        <a:p>
          <a:r>
            <a:rPr lang="en-GB" sz="1100" baseline="0"/>
            <a:t># Height of buildings with flats: Where there are flats, the height in storeys of buildings containing flats must be entered.</a:t>
          </a:r>
        </a:p>
        <a:p>
          <a:endParaRPr lang="en-GB" sz="1100"/>
        </a:p>
        <a:p>
          <a:r>
            <a:rPr lang="en-GB" sz="1100" i="1"/>
            <a:t>Operational Standards:</a:t>
          </a:r>
        </a:p>
        <a:p>
          <a:r>
            <a:rPr lang="en-GB" sz="1100" i="0"/>
            <a:t># Building Regulations Minimum Standard: The baseline operational</a:t>
          </a:r>
          <a:r>
            <a:rPr lang="en-GB" sz="1100" i="0" baseline="0"/>
            <a:t> performance standard is taken to be Part L of the day which is established from the build year and includes a 1 year transitional period. In other words, buildings prior to 2026 are assumed to be under Part L 2021, and from 2026 the Future Home Standard (FHS).</a:t>
          </a:r>
          <a:endParaRPr lang="en-GB" sz="1100" i="0"/>
        </a:p>
        <a:p>
          <a:r>
            <a:rPr lang="en-GB" sz="1100" i="0"/>
            <a:t># Fabric standard: It is possible</a:t>
          </a:r>
          <a:r>
            <a:rPr lang="en-GB" sz="1100" i="0" baseline="0"/>
            <a:t> to set a minimum fabric standard expressed in kWh/m2 per year up to 15 kWh/m2.year (Passivhaus standard).</a:t>
          </a:r>
          <a:endParaRPr lang="en-GB" sz="1100" i="0"/>
        </a:p>
        <a:p>
          <a:r>
            <a:rPr lang="en-GB" sz="1100" i="0"/>
            <a:t># Gas connection: It is possible to ban connection to the gas network. Even if gas is allowed,</a:t>
          </a:r>
          <a:r>
            <a:rPr lang="en-GB" sz="1100" i="0" baseline="0"/>
            <a:t> it is assumed that after 20 years all dwellings with gas boilers are replaced with heat pumps.</a:t>
          </a:r>
          <a:endParaRPr lang="en-GB" sz="1100" i="0"/>
        </a:p>
        <a:p>
          <a:r>
            <a:rPr lang="en-GB" sz="1100" i="0"/>
            <a:t>#</a:t>
          </a:r>
          <a:r>
            <a:rPr lang="en-GB" sz="1100" i="0" baseline="0"/>
            <a:t> Carbon standard: It is possible to set improvement beyond Part L of the day as either 10%, 20%, 30%, 40%, 50%, or 100% (net zero) improvements for regulated emissions.</a:t>
          </a:r>
        </a:p>
        <a:p>
          <a:endParaRPr lang="en-GB" sz="1100" i="1"/>
        </a:p>
        <a:p>
          <a:r>
            <a:rPr lang="en-GB" sz="1100" i="1"/>
            <a:t>Embodied Standards:</a:t>
          </a:r>
        </a:p>
        <a:p>
          <a:r>
            <a:rPr lang="en-GB" sz="1100" i="0"/>
            <a:t>#</a:t>
          </a:r>
          <a:r>
            <a:rPr lang="en-GB" sz="1100" i="0" baseline="0"/>
            <a:t> Embodied standard: It is possible to set the required embodied carbon standard on an A++ to G rating (which relate to kgCO2e/m2 benchmarks).</a:t>
          </a:r>
          <a:endParaRPr lang="en-GB" sz="1100" i="0"/>
        </a:p>
        <a:p>
          <a:endParaRPr lang="en-GB" sz="1100"/>
        </a:p>
        <a:p>
          <a:r>
            <a:rPr lang="en-GB" sz="1100" b="1" i="1"/>
            <a:t>The Output Sheet</a:t>
          </a:r>
        </a:p>
        <a:p>
          <a:r>
            <a:rPr lang="en-GB" sz="1100"/>
            <a:t>The output sheet includes details of the specification selected</a:t>
          </a:r>
          <a:r>
            <a:rPr lang="en-GB" sz="1100" baseline="0"/>
            <a:t> by the tool to meet the input objectives for each of the four dwelling types, as well as operational and embodied carbon performance, cost uplifts, and lifecycle costs including fuel costs and the cost of carbon. Guidance for interpreting the results are given in the Output sheet.</a:t>
          </a:r>
        </a:p>
        <a:p>
          <a:endParaRPr lang="en-GB" sz="1100" baseline="0"/>
        </a:p>
        <a:p>
          <a:r>
            <a:rPr lang="en-GB" sz="1100" baseline="0"/>
            <a:t>To start using the Tool, please go to the Input sheet and begin completing the yellow (and orange if applicable) boxes.</a:t>
          </a:r>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518055</xdr:colOff>
      <xdr:row>4</xdr:row>
      <xdr:rowOff>57150</xdr:rowOff>
    </xdr:from>
    <xdr:to>
      <xdr:col>16</xdr:col>
      <xdr:colOff>564217</xdr:colOff>
      <xdr:row>18</xdr:row>
      <xdr:rowOff>180975</xdr:rowOff>
    </xdr:to>
    <xdr:pic>
      <xdr:nvPicPr>
        <xdr:cNvPr id="2" name="Picture 1">
          <a:extLst>
            <a:ext uri="{FF2B5EF4-FFF2-40B4-BE49-F238E27FC236}">
              <a16:creationId xmlns:a16="http://schemas.microsoft.com/office/drawing/2014/main" id="{BE9F1228-E0A2-407C-BAF2-7F2B31ADA72A}"/>
            </a:ext>
          </a:extLst>
        </xdr:cNvPr>
        <xdr:cNvPicPr>
          <a:picLocks noChangeAspect="1"/>
        </xdr:cNvPicPr>
      </xdr:nvPicPr>
      <xdr:blipFill>
        <a:blip xmlns:r="http://schemas.openxmlformats.org/officeDocument/2006/relationships" r:embed="rId1"/>
        <a:stretch>
          <a:fillRect/>
        </a:stretch>
      </xdr:blipFill>
      <xdr:spPr>
        <a:xfrm>
          <a:off x="8338080" y="819150"/>
          <a:ext cx="3703762" cy="3552825"/>
        </a:xfrm>
        <a:prstGeom prst="rect">
          <a:avLst/>
        </a:prstGeom>
      </xdr:spPr>
    </xdr:pic>
    <xdr:clientData/>
  </xdr:twoCellAnchor>
  <xdr:twoCellAnchor editAs="oneCell">
    <xdr:from>
      <xdr:col>17</xdr:col>
      <xdr:colOff>104109</xdr:colOff>
      <xdr:row>4</xdr:row>
      <xdr:rowOff>98959</xdr:rowOff>
    </xdr:from>
    <xdr:to>
      <xdr:col>25</xdr:col>
      <xdr:colOff>243981</xdr:colOff>
      <xdr:row>17</xdr:row>
      <xdr:rowOff>95391</xdr:rowOff>
    </xdr:to>
    <xdr:pic>
      <xdr:nvPicPr>
        <xdr:cNvPr id="4" name="Picture 3">
          <a:extLst>
            <a:ext uri="{FF2B5EF4-FFF2-40B4-BE49-F238E27FC236}">
              <a16:creationId xmlns:a16="http://schemas.microsoft.com/office/drawing/2014/main" id="{52DDD5E4-BBF3-434E-BE17-484274EF3278}"/>
            </a:ext>
          </a:extLst>
        </xdr:cNvPr>
        <xdr:cNvPicPr>
          <a:picLocks noChangeAspect="1"/>
        </xdr:cNvPicPr>
      </xdr:nvPicPr>
      <xdr:blipFill>
        <a:blip xmlns:r="http://schemas.openxmlformats.org/officeDocument/2006/relationships" r:embed="rId2"/>
        <a:stretch>
          <a:fillRect/>
        </a:stretch>
      </xdr:blipFill>
      <xdr:spPr>
        <a:xfrm>
          <a:off x="12191334" y="860959"/>
          <a:ext cx="5016672" cy="3234932"/>
        </a:xfrm>
        <a:prstGeom prst="rect">
          <a:avLst/>
        </a:prstGeom>
      </xdr:spPr>
    </xdr:pic>
    <xdr:clientData/>
  </xdr:twoCellAnchor>
  <xdr:twoCellAnchor editAs="oneCell">
    <xdr:from>
      <xdr:col>1</xdr:col>
      <xdr:colOff>0</xdr:colOff>
      <xdr:row>30</xdr:row>
      <xdr:rowOff>0</xdr:rowOff>
    </xdr:from>
    <xdr:to>
      <xdr:col>9</xdr:col>
      <xdr:colOff>200974</xdr:colOff>
      <xdr:row>49</xdr:row>
      <xdr:rowOff>171979</xdr:rowOff>
    </xdr:to>
    <xdr:pic>
      <xdr:nvPicPr>
        <xdr:cNvPr id="5" name="Picture 4">
          <a:extLst>
            <a:ext uri="{FF2B5EF4-FFF2-40B4-BE49-F238E27FC236}">
              <a16:creationId xmlns:a16="http://schemas.microsoft.com/office/drawing/2014/main" id="{6C1D79FE-4613-44B5-96EA-B110D76E3F86}"/>
            </a:ext>
          </a:extLst>
        </xdr:cNvPr>
        <xdr:cNvPicPr>
          <a:picLocks noChangeAspect="1"/>
        </xdr:cNvPicPr>
      </xdr:nvPicPr>
      <xdr:blipFill>
        <a:blip xmlns:r="http://schemas.openxmlformats.org/officeDocument/2006/relationships" r:embed="rId3"/>
        <a:stretch>
          <a:fillRect/>
        </a:stretch>
      </xdr:blipFill>
      <xdr:spPr>
        <a:xfrm>
          <a:off x="609600" y="9906000"/>
          <a:ext cx="6801799" cy="37914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228599</xdr:colOff>
      <xdr:row>21</xdr:row>
      <xdr:rowOff>38100</xdr:rowOff>
    </xdr:from>
    <xdr:to>
      <xdr:col>11</xdr:col>
      <xdr:colOff>476250</xdr:colOff>
      <xdr:row>43</xdr:row>
      <xdr:rowOff>28575</xdr:rowOff>
    </xdr:to>
    <xdr:graphicFrame macro="">
      <xdr:nvGraphicFramePr>
        <xdr:cNvPr id="3" name="Chart 2" descr="This graph shows cumulative emissions over the lifetime of the development (which is always assumed to be 60-year analysis period). The emissions are broken down for each of the four dwelling typologies, and within those by “embodied” (total of upfront, in-use and end of life) and “ operational”." title="Cumulative Emissions tCO2e graph">
          <a:extLst>
            <a:ext uri="{FF2B5EF4-FFF2-40B4-BE49-F238E27FC236}">
              <a16:creationId xmlns:a16="http://schemas.microsoft.com/office/drawing/2014/main" id="{52BFB2C0-EBC3-41D4-99B6-89EB96E2D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333375</xdr:colOff>
      <xdr:row>5</xdr:row>
      <xdr:rowOff>85069</xdr:rowOff>
    </xdr:from>
    <xdr:to>
      <xdr:col>10</xdr:col>
      <xdr:colOff>714375</xdr:colOff>
      <xdr:row>18</xdr:row>
      <xdr:rowOff>118406</xdr:rowOff>
    </xdr:to>
    <xdr:graphicFrame macro="">
      <xdr:nvGraphicFramePr>
        <xdr:cNvPr id="4" name="Chart 3" descr="This graph shows total emissions in tCO2e for each of the four dwelling typologies for each of the three embodied stages, and for operational emissions, over the life of the development. It is taken from the data in the “GREENHOUSE GAS EMISSIONS” table to the left." title="Emissions by Dwelling Type graph">
          <a:extLst>
            <a:ext uri="{FF2B5EF4-FFF2-40B4-BE49-F238E27FC236}">
              <a16:creationId xmlns:a16="http://schemas.microsoft.com/office/drawing/2014/main" id="{7187AF0C-E24A-42DC-B4D0-E316C15999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933450</xdr:colOff>
      <xdr:row>5</xdr:row>
      <xdr:rowOff>90487</xdr:rowOff>
    </xdr:from>
    <xdr:to>
      <xdr:col>15</xdr:col>
      <xdr:colOff>293325</xdr:colOff>
      <xdr:row>18</xdr:row>
      <xdr:rowOff>112987</xdr:rowOff>
    </xdr:to>
    <xdr:graphicFrame macro="">
      <xdr:nvGraphicFramePr>
        <xdr:cNvPr id="5" name="Chart 4" descr="This graph shows total emissions in tCO2e for each of the three embodied stages, and for operational emissions over the life of the development for each of the four dwelling typologies. It is taken from the data in the “GREENHOUSE GAS EMISSIONS” table to the left." title="Emissions by Categoy graph">
          <a:extLst>
            <a:ext uri="{FF2B5EF4-FFF2-40B4-BE49-F238E27FC236}">
              <a16:creationId xmlns:a16="http://schemas.microsoft.com/office/drawing/2014/main" id="{473E00F8-70C8-4DC9-9C1A-FCF1C1435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76200</xdr:colOff>
      <xdr:row>21</xdr:row>
      <xdr:rowOff>204787</xdr:rowOff>
    </xdr:from>
    <xdr:to>
      <xdr:col>15</xdr:col>
      <xdr:colOff>504825</xdr:colOff>
      <xdr:row>41</xdr:row>
      <xdr:rowOff>180975</xdr:rowOff>
    </xdr:to>
    <xdr:graphicFrame macro="">
      <xdr:nvGraphicFramePr>
        <xdr:cNvPr id="6" name="Chart 5" descr="This graph summarises the total additional development costs, lifetime energy (30 and 60 year) and cost of carbon as described in the “Cost Outputs” table to the left." title="Upfront, Energy and Carbon Costs graph">
          <a:extLst>
            <a:ext uri="{FF2B5EF4-FFF2-40B4-BE49-F238E27FC236}">
              <a16:creationId xmlns:a16="http://schemas.microsoft.com/office/drawing/2014/main" id="{1851504B-D3E9-4835-A5A8-3DC2B01694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54953</xdr:colOff>
      <xdr:row>7</xdr:row>
      <xdr:rowOff>131884</xdr:rowOff>
    </xdr:from>
    <xdr:to>
      <xdr:col>3</xdr:col>
      <xdr:colOff>523876</xdr:colOff>
      <xdr:row>7</xdr:row>
      <xdr:rowOff>300404</xdr:rowOff>
    </xdr:to>
    <xdr:sp macro="" textlink="">
      <xdr:nvSpPr>
        <xdr:cNvPr id="2" name="Arrow: Left 1">
          <a:extLst>
            <a:ext uri="{FF2B5EF4-FFF2-40B4-BE49-F238E27FC236}">
              <a16:creationId xmlns:a16="http://schemas.microsoft.com/office/drawing/2014/main" id="{352E7590-1151-C883-8F05-D36118044804}"/>
            </a:ext>
          </a:extLst>
        </xdr:cNvPr>
        <xdr:cNvSpPr/>
      </xdr:nvSpPr>
      <xdr:spPr>
        <a:xfrm>
          <a:off x="5945799" y="128953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7</xdr:row>
      <xdr:rowOff>379534</xdr:rowOff>
    </xdr:from>
    <xdr:to>
      <xdr:col>3</xdr:col>
      <xdr:colOff>523876</xdr:colOff>
      <xdr:row>8</xdr:row>
      <xdr:rowOff>167054</xdr:rowOff>
    </xdr:to>
    <xdr:sp macro="" textlink="">
      <xdr:nvSpPr>
        <xdr:cNvPr id="3" name="Arrow: Left 2">
          <a:extLst>
            <a:ext uri="{FF2B5EF4-FFF2-40B4-BE49-F238E27FC236}">
              <a16:creationId xmlns:a16="http://schemas.microsoft.com/office/drawing/2014/main" id="{EE714387-02AA-4767-B484-9251B469681E}"/>
            </a:ext>
          </a:extLst>
        </xdr:cNvPr>
        <xdr:cNvSpPr/>
      </xdr:nvSpPr>
      <xdr:spPr>
        <a:xfrm>
          <a:off x="5945799" y="153718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9</xdr:row>
      <xdr:rowOff>106973</xdr:rowOff>
    </xdr:from>
    <xdr:to>
      <xdr:col>3</xdr:col>
      <xdr:colOff>523876</xdr:colOff>
      <xdr:row>9</xdr:row>
      <xdr:rowOff>275493</xdr:rowOff>
    </xdr:to>
    <xdr:sp macro="" textlink="">
      <xdr:nvSpPr>
        <xdr:cNvPr id="4" name="Arrow: Left 3">
          <a:extLst>
            <a:ext uri="{FF2B5EF4-FFF2-40B4-BE49-F238E27FC236}">
              <a16:creationId xmlns:a16="http://schemas.microsoft.com/office/drawing/2014/main" id="{A0152AFC-B262-4FAA-8EC0-A1335AC45A32}"/>
            </a:ext>
          </a:extLst>
        </xdr:cNvPr>
        <xdr:cNvSpPr/>
      </xdr:nvSpPr>
      <xdr:spPr>
        <a:xfrm>
          <a:off x="5945799" y="1836127"/>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17</xdr:row>
      <xdr:rowOff>98180</xdr:rowOff>
    </xdr:from>
    <xdr:to>
      <xdr:col>3</xdr:col>
      <xdr:colOff>523876</xdr:colOff>
      <xdr:row>17</xdr:row>
      <xdr:rowOff>266700</xdr:rowOff>
    </xdr:to>
    <xdr:sp macro="" textlink="">
      <xdr:nvSpPr>
        <xdr:cNvPr id="5" name="Arrow: Left 4">
          <a:extLst>
            <a:ext uri="{FF2B5EF4-FFF2-40B4-BE49-F238E27FC236}">
              <a16:creationId xmlns:a16="http://schemas.microsoft.com/office/drawing/2014/main" id="{16A3BFA3-8ED2-4379-808C-CBAB12B567F1}"/>
            </a:ext>
          </a:extLst>
        </xdr:cNvPr>
        <xdr:cNvSpPr/>
      </xdr:nvSpPr>
      <xdr:spPr>
        <a:xfrm>
          <a:off x="5945799" y="430383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10</xdr:row>
      <xdr:rowOff>126022</xdr:rowOff>
    </xdr:from>
    <xdr:to>
      <xdr:col>3</xdr:col>
      <xdr:colOff>523876</xdr:colOff>
      <xdr:row>10</xdr:row>
      <xdr:rowOff>294542</xdr:rowOff>
    </xdr:to>
    <xdr:sp macro="" textlink="">
      <xdr:nvSpPr>
        <xdr:cNvPr id="6" name="Arrow: Left 5">
          <a:extLst>
            <a:ext uri="{FF2B5EF4-FFF2-40B4-BE49-F238E27FC236}">
              <a16:creationId xmlns:a16="http://schemas.microsoft.com/office/drawing/2014/main" id="{1E385D3E-2A3C-4FCC-9D5E-30BDC8F053CD}"/>
            </a:ext>
          </a:extLst>
        </xdr:cNvPr>
        <xdr:cNvSpPr/>
      </xdr:nvSpPr>
      <xdr:spPr>
        <a:xfrm>
          <a:off x="5945799" y="2236176"/>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11</xdr:row>
      <xdr:rowOff>139211</xdr:rowOff>
    </xdr:from>
    <xdr:to>
      <xdr:col>3</xdr:col>
      <xdr:colOff>523876</xdr:colOff>
      <xdr:row>11</xdr:row>
      <xdr:rowOff>307731</xdr:rowOff>
    </xdr:to>
    <xdr:sp macro="" textlink="">
      <xdr:nvSpPr>
        <xdr:cNvPr id="7" name="Arrow: Left 6">
          <a:extLst>
            <a:ext uri="{FF2B5EF4-FFF2-40B4-BE49-F238E27FC236}">
              <a16:creationId xmlns:a16="http://schemas.microsoft.com/office/drawing/2014/main" id="{A82B8754-7BEC-4E65-91C4-490A5760B3E6}"/>
            </a:ext>
          </a:extLst>
        </xdr:cNvPr>
        <xdr:cNvSpPr/>
      </xdr:nvSpPr>
      <xdr:spPr>
        <a:xfrm>
          <a:off x="5945799" y="2630365"/>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14</xdr:row>
      <xdr:rowOff>123091</xdr:rowOff>
    </xdr:from>
    <xdr:to>
      <xdr:col>3</xdr:col>
      <xdr:colOff>523876</xdr:colOff>
      <xdr:row>14</xdr:row>
      <xdr:rowOff>291611</xdr:rowOff>
    </xdr:to>
    <xdr:sp macro="" textlink="">
      <xdr:nvSpPr>
        <xdr:cNvPr id="8" name="Arrow: Left 7">
          <a:extLst>
            <a:ext uri="{FF2B5EF4-FFF2-40B4-BE49-F238E27FC236}">
              <a16:creationId xmlns:a16="http://schemas.microsoft.com/office/drawing/2014/main" id="{70ABC2D9-5B09-43AE-9097-4A7A2286EBCF}"/>
            </a:ext>
          </a:extLst>
        </xdr:cNvPr>
        <xdr:cNvSpPr/>
      </xdr:nvSpPr>
      <xdr:spPr>
        <a:xfrm>
          <a:off x="5945799" y="3566745"/>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12</xdr:row>
      <xdr:rowOff>136280</xdr:rowOff>
    </xdr:from>
    <xdr:to>
      <xdr:col>3</xdr:col>
      <xdr:colOff>523876</xdr:colOff>
      <xdr:row>12</xdr:row>
      <xdr:rowOff>304800</xdr:rowOff>
    </xdr:to>
    <xdr:sp macro="" textlink="">
      <xdr:nvSpPr>
        <xdr:cNvPr id="9" name="Arrow: Left 8">
          <a:extLst>
            <a:ext uri="{FF2B5EF4-FFF2-40B4-BE49-F238E27FC236}">
              <a16:creationId xmlns:a16="http://schemas.microsoft.com/office/drawing/2014/main" id="{6B26002B-545F-4F7A-92F5-F599E7075DC3}"/>
            </a:ext>
          </a:extLst>
        </xdr:cNvPr>
        <xdr:cNvSpPr/>
      </xdr:nvSpPr>
      <xdr:spPr>
        <a:xfrm>
          <a:off x="5945799" y="300843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13</xdr:row>
      <xdr:rowOff>17584</xdr:rowOff>
    </xdr:from>
    <xdr:to>
      <xdr:col>3</xdr:col>
      <xdr:colOff>523876</xdr:colOff>
      <xdr:row>13</xdr:row>
      <xdr:rowOff>186104</xdr:rowOff>
    </xdr:to>
    <xdr:sp macro="" textlink="">
      <xdr:nvSpPr>
        <xdr:cNvPr id="10" name="Arrow: Left 9">
          <a:extLst>
            <a:ext uri="{FF2B5EF4-FFF2-40B4-BE49-F238E27FC236}">
              <a16:creationId xmlns:a16="http://schemas.microsoft.com/office/drawing/2014/main" id="{77D6851D-1BF1-4A50-AD49-E6C39EED98E9}"/>
            </a:ext>
          </a:extLst>
        </xdr:cNvPr>
        <xdr:cNvSpPr/>
      </xdr:nvSpPr>
      <xdr:spPr>
        <a:xfrm>
          <a:off x="5945799" y="327073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7328</xdr:colOff>
      <xdr:row>46</xdr:row>
      <xdr:rowOff>79129</xdr:rowOff>
    </xdr:from>
    <xdr:to>
      <xdr:col>4</xdr:col>
      <xdr:colOff>3949212</xdr:colOff>
      <xdr:row>67</xdr:row>
      <xdr:rowOff>52041</xdr:rowOff>
    </xdr:to>
    <xdr:grpSp>
      <xdr:nvGrpSpPr>
        <xdr:cNvPr id="16" name="Group 15" descr="Two tables, first table is titled Upfront Carbon, secon table is titled Embodied Carbon." title="Embodied Carbon Benchmarks from LETI (London Energy Transformation Initiative)">
          <a:extLst>
            <a:ext uri="{FF2B5EF4-FFF2-40B4-BE49-F238E27FC236}">
              <a16:creationId xmlns:a16="http://schemas.microsoft.com/office/drawing/2014/main" id="{008312F6-26B8-FF66-1A1E-F99F0CBEC841}"/>
            </a:ext>
          </a:extLst>
        </xdr:cNvPr>
        <xdr:cNvGrpSpPr/>
      </xdr:nvGrpSpPr>
      <xdr:grpSpPr>
        <a:xfrm>
          <a:off x="6939574" y="11786575"/>
          <a:ext cx="4117144" cy="3829804"/>
          <a:chOff x="2872154" y="11941419"/>
          <a:chExt cx="3941884" cy="3973412"/>
        </a:xfrm>
      </xdr:grpSpPr>
      <xdr:pic>
        <xdr:nvPicPr>
          <xdr:cNvPr id="11" name="Picture 10">
            <a:extLst>
              <a:ext uri="{FF2B5EF4-FFF2-40B4-BE49-F238E27FC236}">
                <a16:creationId xmlns:a16="http://schemas.microsoft.com/office/drawing/2014/main" id="{568B5D22-1898-44C3-94B3-A67081A3B436}"/>
              </a:ext>
            </a:extLst>
          </xdr:cNvPr>
          <xdr:cNvPicPr>
            <a:picLocks noChangeAspect="1"/>
          </xdr:cNvPicPr>
        </xdr:nvPicPr>
        <xdr:blipFill rotWithShape="1">
          <a:blip xmlns:r="http://schemas.openxmlformats.org/officeDocument/2006/relationships" r:embed="rId1"/>
          <a:srcRect t="6269" r="53901" b="5956"/>
          <a:stretch/>
        </xdr:blipFill>
        <xdr:spPr>
          <a:xfrm>
            <a:off x="2872154" y="12192000"/>
            <a:ext cx="1905000" cy="3487616"/>
          </a:xfrm>
          <a:prstGeom prst="rect">
            <a:avLst/>
          </a:prstGeom>
        </xdr:spPr>
      </xdr:pic>
      <xdr:pic>
        <xdr:nvPicPr>
          <xdr:cNvPr id="12" name="Picture 11">
            <a:extLst>
              <a:ext uri="{FF2B5EF4-FFF2-40B4-BE49-F238E27FC236}">
                <a16:creationId xmlns:a16="http://schemas.microsoft.com/office/drawing/2014/main" id="{18A00992-8799-414E-8774-FCB53F153EDA}"/>
              </a:ext>
            </a:extLst>
          </xdr:cNvPr>
          <xdr:cNvPicPr>
            <a:picLocks noChangeAspect="1"/>
          </xdr:cNvPicPr>
        </xdr:nvPicPr>
        <xdr:blipFill rotWithShape="1">
          <a:blip xmlns:r="http://schemas.openxmlformats.org/officeDocument/2006/relationships" r:embed="rId1"/>
          <a:srcRect l="46135" r="35957"/>
          <a:stretch/>
        </xdr:blipFill>
        <xdr:spPr>
          <a:xfrm>
            <a:off x="4066442" y="11941419"/>
            <a:ext cx="740020" cy="3973412"/>
          </a:xfrm>
          <a:prstGeom prst="rect">
            <a:avLst/>
          </a:prstGeom>
        </xdr:spPr>
      </xdr:pic>
      <xdr:pic>
        <xdr:nvPicPr>
          <xdr:cNvPr id="13" name="Picture 12" title="Embodied Carbon, A1-5, B1-5, C1-4 (inc. sequestration)">
            <a:extLst>
              <a:ext uri="{FF2B5EF4-FFF2-40B4-BE49-F238E27FC236}">
                <a16:creationId xmlns:a16="http://schemas.microsoft.com/office/drawing/2014/main" id="{21ED4352-29FC-4E3D-8AB3-79965BE23EBD}"/>
              </a:ext>
            </a:extLst>
          </xdr:cNvPr>
          <xdr:cNvPicPr>
            <a:picLocks noChangeAspect="1"/>
          </xdr:cNvPicPr>
        </xdr:nvPicPr>
        <xdr:blipFill rotWithShape="1">
          <a:blip xmlns:r="http://schemas.openxmlformats.org/officeDocument/2006/relationships" r:embed="rId1"/>
          <a:srcRect l="15603" t="48681" r="4432" b="47446"/>
          <a:stretch/>
        </xdr:blipFill>
        <xdr:spPr>
          <a:xfrm>
            <a:off x="3509596" y="13869866"/>
            <a:ext cx="3304442" cy="153865"/>
          </a:xfrm>
          <a:prstGeom prst="rect">
            <a:avLst/>
          </a:prstGeom>
        </xdr:spPr>
      </xdr:pic>
      <xdr:pic>
        <xdr:nvPicPr>
          <xdr:cNvPr id="14" name="Picture 13" title="Upfront Carbon, A1-5 (exc. sequestration)">
            <a:extLst>
              <a:ext uri="{FF2B5EF4-FFF2-40B4-BE49-F238E27FC236}">
                <a16:creationId xmlns:a16="http://schemas.microsoft.com/office/drawing/2014/main" id="{B0D30B3E-9405-47CD-9BE2-75C31E783645}"/>
              </a:ext>
            </a:extLst>
          </xdr:cNvPr>
          <xdr:cNvPicPr>
            <a:picLocks noChangeAspect="1"/>
          </xdr:cNvPicPr>
        </xdr:nvPicPr>
        <xdr:blipFill rotWithShape="1">
          <a:blip xmlns:r="http://schemas.openxmlformats.org/officeDocument/2006/relationships" r:embed="rId1"/>
          <a:srcRect l="15283" t="405" r="23369" b="94247"/>
          <a:stretch/>
        </xdr:blipFill>
        <xdr:spPr>
          <a:xfrm>
            <a:off x="3465634" y="11972192"/>
            <a:ext cx="2535115" cy="212481"/>
          </a:xfrm>
          <a:prstGeom prst="rect">
            <a:avLst/>
          </a:prstGeom>
        </xdr:spPr>
      </xdr:pic>
      <xdr:pic>
        <xdr:nvPicPr>
          <xdr:cNvPr id="15" name="Picture 14" title="All values in kgCO2e/m2 (GIA)">
            <a:extLst>
              <a:ext uri="{FF2B5EF4-FFF2-40B4-BE49-F238E27FC236}">
                <a16:creationId xmlns:a16="http://schemas.microsoft.com/office/drawing/2014/main" id="{D972E9BB-85D3-4C35-9D31-EE9C87262FB2}"/>
              </a:ext>
            </a:extLst>
          </xdr:cNvPr>
          <xdr:cNvPicPr>
            <a:picLocks noChangeAspect="1"/>
          </xdr:cNvPicPr>
        </xdr:nvPicPr>
        <xdr:blipFill rotWithShape="1">
          <a:blip xmlns:r="http://schemas.openxmlformats.org/officeDocument/2006/relationships" r:embed="rId1"/>
          <a:srcRect l="35319" t="94081" r="20000" b="203"/>
          <a:stretch/>
        </xdr:blipFill>
        <xdr:spPr>
          <a:xfrm>
            <a:off x="3538903" y="15672288"/>
            <a:ext cx="1846386" cy="227134"/>
          </a:xfrm>
          <a:prstGeom prst="rect">
            <a:avLst/>
          </a:prstGeom>
        </xdr:spPr>
      </xdr:pic>
    </xdr:grpSp>
    <xdr:clientData/>
  </xdr:twoCellAnchor>
  <xdr:twoCellAnchor>
    <xdr:from>
      <xdr:col>3</xdr:col>
      <xdr:colOff>54953</xdr:colOff>
      <xdr:row>18</xdr:row>
      <xdr:rowOff>221272</xdr:rowOff>
    </xdr:from>
    <xdr:to>
      <xdr:col>3</xdr:col>
      <xdr:colOff>523876</xdr:colOff>
      <xdr:row>18</xdr:row>
      <xdr:rowOff>389792</xdr:rowOff>
    </xdr:to>
    <xdr:sp macro="" textlink="">
      <xdr:nvSpPr>
        <xdr:cNvPr id="17" name="Arrow: Left 16">
          <a:extLst>
            <a:ext uri="{FF2B5EF4-FFF2-40B4-BE49-F238E27FC236}">
              <a16:creationId xmlns:a16="http://schemas.microsoft.com/office/drawing/2014/main" id="{7334714C-12C8-4924-BDB4-E89D782FF95D}"/>
            </a:ext>
          </a:extLst>
        </xdr:cNvPr>
        <xdr:cNvSpPr/>
      </xdr:nvSpPr>
      <xdr:spPr>
        <a:xfrm>
          <a:off x="5945799" y="4807926"/>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19</xdr:row>
      <xdr:rowOff>234461</xdr:rowOff>
    </xdr:from>
    <xdr:to>
      <xdr:col>3</xdr:col>
      <xdr:colOff>523876</xdr:colOff>
      <xdr:row>19</xdr:row>
      <xdr:rowOff>402981</xdr:rowOff>
    </xdr:to>
    <xdr:sp macro="" textlink="">
      <xdr:nvSpPr>
        <xdr:cNvPr id="18" name="Arrow: Left 17">
          <a:extLst>
            <a:ext uri="{FF2B5EF4-FFF2-40B4-BE49-F238E27FC236}">
              <a16:creationId xmlns:a16="http://schemas.microsoft.com/office/drawing/2014/main" id="{6EE9A51C-9716-4AC7-8063-F8309D828177}"/>
            </a:ext>
          </a:extLst>
        </xdr:cNvPr>
        <xdr:cNvSpPr/>
      </xdr:nvSpPr>
      <xdr:spPr>
        <a:xfrm>
          <a:off x="5945799" y="5392615"/>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24</xdr:row>
      <xdr:rowOff>20514</xdr:rowOff>
    </xdr:from>
    <xdr:to>
      <xdr:col>3</xdr:col>
      <xdr:colOff>523876</xdr:colOff>
      <xdr:row>24</xdr:row>
      <xdr:rowOff>189034</xdr:rowOff>
    </xdr:to>
    <xdr:sp macro="" textlink="">
      <xdr:nvSpPr>
        <xdr:cNvPr id="19" name="Arrow: Left 18">
          <a:extLst>
            <a:ext uri="{FF2B5EF4-FFF2-40B4-BE49-F238E27FC236}">
              <a16:creationId xmlns:a16="http://schemas.microsoft.com/office/drawing/2014/main" id="{CEB658BD-7C12-4606-B2E9-D2109C48520E}"/>
            </a:ext>
          </a:extLst>
        </xdr:cNvPr>
        <xdr:cNvSpPr/>
      </xdr:nvSpPr>
      <xdr:spPr>
        <a:xfrm>
          <a:off x="5945799" y="689316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20</xdr:row>
      <xdr:rowOff>231530</xdr:rowOff>
    </xdr:from>
    <xdr:to>
      <xdr:col>3</xdr:col>
      <xdr:colOff>523876</xdr:colOff>
      <xdr:row>20</xdr:row>
      <xdr:rowOff>400050</xdr:rowOff>
    </xdr:to>
    <xdr:sp macro="" textlink="">
      <xdr:nvSpPr>
        <xdr:cNvPr id="20" name="Arrow: Left 19">
          <a:extLst>
            <a:ext uri="{FF2B5EF4-FFF2-40B4-BE49-F238E27FC236}">
              <a16:creationId xmlns:a16="http://schemas.microsoft.com/office/drawing/2014/main" id="{2E69956E-CA62-4DED-98D9-EF232674CDD6}"/>
            </a:ext>
          </a:extLst>
        </xdr:cNvPr>
        <xdr:cNvSpPr/>
      </xdr:nvSpPr>
      <xdr:spPr>
        <a:xfrm>
          <a:off x="5945799" y="596118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25</xdr:row>
      <xdr:rowOff>20026</xdr:rowOff>
    </xdr:from>
    <xdr:to>
      <xdr:col>3</xdr:col>
      <xdr:colOff>523876</xdr:colOff>
      <xdr:row>25</xdr:row>
      <xdr:rowOff>188546</xdr:rowOff>
    </xdr:to>
    <xdr:sp macro="" textlink="">
      <xdr:nvSpPr>
        <xdr:cNvPr id="21" name="Arrow: Left 20">
          <a:extLst>
            <a:ext uri="{FF2B5EF4-FFF2-40B4-BE49-F238E27FC236}">
              <a16:creationId xmlns:a16="http://schemas.microsoft.com/office/drawing/2014/main" id="{B16E0D33-E72D-40A5-A9E5-AAA186101562}"/>
            </a:ext>
          </a:extLst>
        </xdr:cNvPr>
        <xdr:cNvSpPr/>
      </xdr:nvSpPr>
      <xdr:spPr>
        <a:xfrm>
          <a:off x="5945799" y="7083180"/>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27</xdr:row>
      <xdr:rowOff>19050</xdr:rowOff>
    </xdr:from>
    <xdr:to>
      <xdr:col>3</xdr:col>
      <xdr:colOff>523876</xdr:colOff>
      <xdr:row>27</xdr:row>
      <xdr:rowOff>187570</xdr:rowOff>
    </xdr:to>
    <xdr:sp macro="" textlink="">
      <xdr:nvSpPr>
        <xdr:cNvPr id="22" name="Arrow: Left 21">
          <a:extLst>
            <a:ext uri="{FF2B5EF4-FFF2-40B4-BE49-F238E27FC236}">
              <a16:creationId xmlns:a16="http://schemas.microsoft.com/office/drawing/2014/main" id="{67FECE88-AC58-420A-9ABD-8060FF7B7712}"/>
            </a:ext>
          </a:extLst>
        </xdr:cNvPr>
        <xdr:cNvSpPr/>
      </xdr:nvSpPr>
      <xdr:spPr>
        <a:xfrm>
          <a:off x="5945799" y="746320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26</xdr:row>
      <xdr:rowOff>19538</xdr:rowOff>
    </xdr:from>
    <xdr:to>
      <xdr:col>3</xdr:col>
      <xdr:colOff>523876</xdr:colOff>
      <xdr:row>26</xdr:row>
      <xdr:rowOff>188058</xdr:rowOff>
    </xdr:to>
    <xdr:sp macro="" textlink="">
      <xdr:nvSpPr>
        <xdr:cNvPr id="23" name="Arrow: Left 22">
          <a:extLst>
            <a:ext uri="{FF2B5EF4-FFF2-40B4-BE49-F238E27FC236}">
              <a16:creationId xmlns:a16="http://schemas.microsoft.com/office/drawing/2014/main" id="{25B9AC6B-374B-4E6E-B764-B9AE4E5ABB1E}"/>
            </a:ext>
          </a:extLst>
        </xdr:cNvPr>
        <xdr:cNvSpPr/>
      </xdr:nvSpPr>
      <xdr:spPr>
        <a:xfrm>
          <a:off x="5945799" y="7273192"/>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28</xdr:row>
      <xdr:rowOff>18562</xdr:rowOff>
    </xdr:from>
    <xdr:to>
      <xdr:col>3</xdr:col>
      <xdr:colOff>523876</xdr:colOff>
      <xdr:row>28</xdr:row>
      <xdr:rowOff>187082</xdr:rowOff>
    </xdr:to>
    <xdr:sp macro="" textlink="">
      <xdr:nvSpPr>
        <xdr:cNvPr id="24" name="Arrow: Left 23">
          <a:extLst>
            <a:ext uri="{FF2B5EF4-FFF2-40B4-BE49-F238E27FC236}">
              <a16:creationId xmlns:a16="http://schemas.microsoft.com/office/drawing/2014/main" id="{9CC63BD3-8A54-4E1E-BB42-8B9C835C5BB6}"/>
            </a:ext>
          </a:extLst>
        </xdr:cNvPr>
        <xdr:cNvSpPr/>
      </xdr:nvSpPr>
      <xdr:spPr>
        <a:xfrm>
          <a:off x="5945799" y="7653216"/>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29</xdr:row>
      <xdr:rowOff>18074</xdr:rowOff>
    </xdr:from>
    <xdr:to>
      <xdr:col>3</xdr:col>
      <xdr:colOff>523876</xdr:colOff>
      <xdr:row>29</xdr:row>
      <xdr:rowOff>186594</xdr:rowOff>
    </xdr:to>
    <xdr:sp macro="" textlink="">
      <xdr:nvSpPr>
        <xdr:cNvPr id="25" name="Arrow: Left 24">
          <a:extLst>
            <a:ext uri="{FF2B5EF4-FFF2-40B4-BE49-F238E27FC236}">
              <a16:creationId xmlns:a16="http://schemas.microsoft.com/office/drawing/2014/main" id="{31CEDFBF-E85B-45B4-9D99-AB6313F7E58A}"/>
            </a:ext>
          </a:extLst>
        </xdr:cNvPr>
        <xdr:cNvSpPr/>
      </xdr:nvSpPr>
      <xdr:spPr>
        <a:xfrm>
          <a:off x="5945799" y="784322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30</xdr:row>
      <xdr:rowOff>17584</xdr:rowOff>
    </xdr:from>
    <xdr:to>
      <xdr:col>3</xdr:col>
      <xdr:colOff>523876</xdr:colOff>
      <xdr:row>30</xdr:row>
      <xdr:rowOff>186104</xdr:rowOff>
    </xdr:to>
    <xdr:sp macro="" textlink="">
      <xdr:nvSpPr>
        <xdr:cNvPr id="26" name="Arrow: Left 25">
          <a:extLst>
            <a:ext uri="{FF2B5EF4-FFF2-40B4-BE49-F238E27FC236}">
              <a16:creationId xmlns:a16="http://schemas.microsoft.com/office/drawing/2014/main" id="{2525946C-51A6-4F9C-AA58-489E2987AC13}"/>
            </a:ext>
          </a:extLst>
        </xdr:cNvPr>
        <xdr:cNvSpPr/>
      </xdr:nvSpPr>
      <xdr:spPr>
        <a:xfrm>
          <a:off x="5945799" y="803323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31</xdr:row>
      <xdr:rowOff>111369</xdr:rowOff>
    </xdr:from>
    <xdr:to>
      <xdr:col>3</xdr:col>
      <xdr:colOff>523876</xdr:colOff>
      <xdr:row>31</xdr:row>
      <xdr:rowOff>279889</xdr:rowOff>
    </xdr:to>
    <xdr:sp macro="" textlink="">
      <xdr:nvSpPr>
        <xdr:cNvPr id="27" name="Arrow: Left 26">
          <a:extLst>
            <a:ext uri="{FF2B5EF4-FFF2-40B4-BE49-F238E27FC236}">
              <a16:creationId xmlns:a16="http://schemas.microsoft.com/office/drawing/2014/main" id="{14EF97B9-3277-4AE1-927C-E0943C4DD4D8}"/>
            </a:ext>
          </a:extLst>
        </xdr:cNvPr>
        <xdr:cNvSpPr/>
      </xdr:nvSpPr>
      <xdr:spPr>
        <a:xfrm>
          <a:off x="5945799" y="8317523"/>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32</xdr:row>
      <xdr:rowOff>117230</xdr:rowOff>
    </xdr:from>
    <xdr:to>
      <xdr:col>3</xdr:col>
      <xdr:colOff>523876</xdr:colOff>
      <xdr:row>32</xdr:row>
      <xdr:rowOff>285750</xdr:rowOff>
    </xdr:to>
    <xdr:sp macro="" textlink="">
      <xdr:nvSpPr>
        <xdr:cNvPr id="28" name="Arrow: Left 27">
          <a:extLst>
            <a:ext uri="{FF2B5EF4-FFF2-40B4-BE49-F238E27FC236}">
              <a16:creationId xmlns:a16="http://schemas.microsoft.com/office/drawing/2014/main" id="{AF4AD6D0-036A-405D-998A-E3CE62EF50D2}"/>
            </a:ext>
          </a:extLst>
        </xdr:cNvPr>
        <xdr:cNvSpPr/>
      </xdr:nvSpPr>
      <xdr:spPr>
        <a:xfrm>
          <a:off x="5945799" y="870438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33</xdr:row>
      <xdr:rowOff>145072</xdr:rowOff>
    </xdr:from>
    <xdr:to>
      <xdr:col>3</xdr:col>
      <xdr:colOff>523876</xdr:colOff>
      <xdr:row>33</xdr:row>
      <xdr:rowOff>313592</xdr:rowOff>
    </xdr:to>
    <xdr:sp macro="" textlink="">
      <xdr:nvSpPr>
        <xdr:cNvPr id="29" name="Arrow: Left 28">
          <a:extLst>
            <a:ext uri="{FF2B5EF4-FFF2-40B4-BE49-F238E27FC236}">
              <a16:creationId xmlns:a16="http://schemas.microsoft.com/office/drawing/2014/main" id="{5F2EA47F-6AD9-4164-98E0-E6CCF27856C9}"/>
            </a:ext>
          </a:extLst>
        </xdr:cNvPr>
        <xdr:cNvSpPr/>
      </xdr:nvSpPr>
      <xdr:spPr>
        <a:xfrm>
          <a:off x="5945799" y="9113226"/>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34</xdr:row>
      <xdr:rowOff>19050</xdr:rowOff>
    </xdr:from>
    <xdr:to>
      <xdr:col>3</xdr:col>
      <xdr:colOff>523876</xdr:colOff>
      <xdr:row>34</xdr:row>
      <xdr:rowOff>187570</xdr:rowOff>
    </xdr:to>
    <xdr:sp macro="" textlink="">
      <xdr:nvSpPr>
        <xdr:cNvPr id="30" name="Arrow: Left 29">
          <a:extLst>
            <a:ext uri="{FF2B5EF4-FFF2-40B4-BE49-F238E27FC236}">
              <a16:creationId xmlns:a16="http://schemas.microsoft.com/office/drawing/2014/main" id="{325B1914-8783-4CB3-8E42-A8F3737A26FD}"/>
            </a:ext>
          </a:extLst>
        </xdr:cNvPr>
        <xdr:cNvSpPr/>
      </xdr:nvSpPr>
      <xdr:spPr>
        <a:xfrm>
          <a:off x="5945799" y="936820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41</xdr:row>
      <xdr:rowOff>501161</xdr:rowOff>
    </xdr:from>
    <xdr:to>
      <xdr:col>3</xdr:col>
      <xdr:colOff>523876</xdr:colOff>
      <xdr:row>41</xdr:row>
      <xdr:rowOff>669681</xdr:rowOff>
    </xdr:to>
    <xdr:sp macro="" textlink="">
      <xdr:nvSpPr>
        <xdr:cNvPr id="31" name="Arrow: Left 30">
          <a:extLst>
            <a:ext uri="{FF2B5EF4-FFF2-40B4-BE49-F238E27FC236}">
              <a16:creationId xmlns:a16="http://schemas.microsoft.com/office/drawing/2014/main" id="{81BEF0BA-5F8E-47D8-9553-61D48862F34A}"/>
            </a:ext>
          </a:extLst>
        </xdr:cNvPr>
        <xdr:cNvSpPr/>
      </xdr:nvSpPr>
      <xdr:spPr>
        <a:xfrm>
          <a:off x="5945799" y="11183815"/>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11</xdr:col>
      <xdr:colOff>229711</xdr:colOff>
      <xdr:row>62</xdr:row>
      <xdr:rowOff>58487</xdr:rowOff>
    </xdr:to>
    <xdr:pic>
      <xdr:nvPicPr>
        <xdr:cNvPr id="2" name="Picture 1">
          <a:extLst>
            <a:ext uri="{FF2B5EF4-FFF2-40B4-BE49-F238E27FC236}">
              <a16:creationId xmlns:a16="http://schemas.microsoft.com/office/drawing/2014/main" id="{54EDB9C9-D1C8-4CF8-A414-202AD9305AA5}"/>
            </a:ext>
          </a:extLst>
        </xdr:cNvPr>
        <xdr:cNvPicPr>
          <a:picLocks noChangeAspect="1"/>
        </xdr:cNvPicPr>
      </xdr:nvPicPr>
      <xdr:blipFill>
        <a:blip xmlns:r="http://schemas.openxmlformats.org/officeDocument/2006/relationships" r:embed="rId1"/>
        <a:stretch>
          <a:fillRect/>
        </a:stretch>
      </xdr:blipFill>
      <xdr:spPr>
        <a:xfrm>
          <a:off x="609600" y="2095500"/>
          <a:ext cx="7964011" cy="9583487"/>
        </a:xfrm>
        <a:prstGeom prst="rect">
          <a:avLst/>
        </a:prstGeom>
      </xdr:spPr>
    </xdr:pic>
    <xdr:clientData/>
  </xdr:twoCellAnchor>
  <xdr:twoCellAnchor editAs="oneCell">
    <xdr:from>
      <xdr:col>12</xdr:col>
      <xdr:colOff>0</xdr:colOff>
      <xdr:row>12</xdr:row>
      <xdr:rowOff>0</xdr:rowOff>
    </xdr:from>
    <xdr:to>
      <xdr:col>24</xdr:col>
      <xdr:colOff>572601</xdr:colOff>
      <xdr:row>66</xdr:row>
      <xdr:rowOff>153857</xdr:rowOff>
    </xdr:to>
    <xdr:pic>
      <xdr:nvPicPr>
        <xdr:cNvPr id="3" name="Picture 2">
          <a:extLst>
            <a:ext uri="{FF2B5EF4-FFF2-40B4-BE49-F238E27FC236}">
              <a16:creationId xmlns:a16="http://schemas.microsoft.com/office/drawing/2014/main" id="{84F44BBD-A3A4-4CD4-A1D5-3CB2488A2A9D}"/>
            </a:ext>
          </a:extLst>
        </xdr:cNvPr>
        <xdr:cNvPicPr>
          <a:picLocks noChangeAspect="1"/>
        </xdr:cNvPicPr>
      </xdr:nvPicPr>
      <xdr:blipFill>
        <a:blip xmlns:r="http://schemas.openxmlformats.org/officeDocument/2006/relationships" r:embed="rId2"/>
        <a:stretch>
          <a:fillRect/>
        </a:stretch>
      </xdr:blipFill>
      <xdr:spPr>
        <a:xfrm>
          <a:off x="8953500" y="2095500"/>
          <a:ext cx="7887801" cy="10440857"/>
        </a:xfrm>
        <a:prstGeom prst="rect">
          <a:avLst/>
        </a:prstGeom>
      </xdr:spPr>
    </xdr:pic>
    <xdr:clientData/>
  </xdr:twoCellAnchor>
  <xdr:twoCellAnchor editAs="oneCell">
    <xdr:from>
      <xdr:col>1</xdr:col>
      <xdr:colOff>190500</xdr:colOff>
      <xdr:row>61</xdr:row>
      <xdr:rowOff>171450</xdr:rowOff>
    </xdr:from>
    <xdr:to>
      <xdr:col>11</xdr:col>
      <xdr:colOff>305895</xdr:colOff>
      <xdr:row>78</xdr:row>
      <xdr:rowOff>428</xdr:rowOff>
    </xdr:to>
    <xdr:pic>
      <xdr:nvPicPr>
        <xdr:cNvPr id="4" name="Picture 3">
          <a:extLst>
            <a:ext uri="{FF2B5EF4-FFF2-40B4-BE49-F238E27FC236}">
              <a16:creationId xmlns:a16="http://schemas.microsoft.com/office/drawing/2014/main" id="{99A2A627-6EF2-475E-8C37-AFF57C7EE0CF}"/>
            </a:ext>
          </a:extLst>
        </xdr:cNvPr>
        <xdr:cNvPicPr>
          <a:picLocks noChangeAspect="1"/>
        </xdr:cNvPicPr>
      </xdr:nvPicPr>
      <xdr:blipFill>
        <a:blip xmlns:r="http://schemas.openxmlformats.org/officeDocument/2006/relationships" r:embed="rId3"/>
        <a:stretch>
          <a:fillRect/>
        </a:stretch>
      </xdr:blipFill>
      <xdr:spPr>
        <a:xfrm>
          <a:off x="800100" y="11601450"/>
          <a:ext cx="7849695" cy="3067478"/>
        </a:xfrm>
        <a:prstGeom prst="rect">
          <a:avLst/>
        </a:prstGeom>
      </xdr:spPr>
    </xdr:pic>
    <xdr:clientData/>
  </xdr:twoCellAnchor>
  <xdr:twoCellAnchor editAs="oneCell">
    <xdr:from>
      <xdr:col>1</xdr:col>
      <xdr:colOff>69396</xdr:colOff>
      <xdr:row>81</xdr:row>
      <xdr:rowOff>0</xdr:rowOff>
    </xdr:from>
    <xdr:to>
      <xdr:col>7</xdr:col>
      <xdr:colOff>436453</xdr:colOff>
      <xdr:row>115</xdr:row>
      <xdr:rowOff>48536</xdr:rowOff>
    </xdr:to>
    <xdr:pic>
      <xdr:nvPicPr>
        <xdr:cNvPr id="5" name="Picture 4">
          <a:extLst>
            <a:ext uri="{FF2B5EF4-FFF2-40B4-BE49-F238E27FC236}">
              <a16:creationId xmlns:a16="http://schemas.microsoft.com/office/drawing/2014/main" id="{E85DC052-98EF-4DFC-A7A2-AF79F4C5F550}"/>
            </a:ext>
          </a:extLst>
        </xdr:cNvPr>
        <xdr:cNvPicPr>
          <a:picLocks noChangeAspect="1"/>
        </xdr:cNvPicPr>
      </xdr:nvPicPr>
      <xdr:blipFill>
        <a:blip xmlns:r="http://schemas.openxmlformats.org/officeDocument/2006/relationships" r:embed="rId4"/>
        <a:stretch>
          <a:fillRect/>
        </a:stretch>
      </xdr:blipFill>
      <xdr:spPr>
        <a:xfrm>
          <a:off x="674514" y="15430500"/>
          <a:ext cx="5645027" cy="6525536"/>
        </a:xfrm>
        <a:prstGeom prst="rect">
          <a:avLst/>
        </a:prstGeom>
      </xdr:spPr>
    </xdr:pic>
    <xdr:clientData/>
  </xdr:twoCellAnchor>
  <xdr:twoCellAnchor editAs="oneCell">
    <xdr:from>
      <xdr:col>7</xdr:col>
      <xdr:colOff>571501</xdr:colOff>
      <xdr:row>83</xdr:row>
      <xdr:rowOff>179295</xdr:rowOff>
    </xdr:from>
    <xdr:to>
      <xdr:col>18</xdr:col>
      <xdr:colOff>405354</xdr:colOff>
      <xdr:row>96</xdr:row>
      <xdr:rowOff>169770</xdr:rowOff>
    </xdr:to>
    <xdr:pic>
      <xdr:nvPicPr>
        <xdr:cNvPr id="6" name="Picture 5">
          <a:extLst>
            <a:ext uri="{FF2B5EF4-FFF2-40B4-BE49-F238E27FC236}">
              <a16:creationId xmlns:a16="http://schemas.microsoft.com/office/drawing/2014/main" id="{F00046A8-97FC-4E50-ABD7-5F9F05D73729}"/>
            </a:ext>
          </a:extLst>
        </xdr:cNvPr>
        <xdr:cNvPicPr>
          <a:picLocks noChangeAspect="1"/>
        </xdr:cNvPicPr>
      </xdr:nvPicPr>
      <xdr:blipFill>
        <a:blip xmlns:r="http://schemas.openxmlformats.org/officeDocument/2006/relationships" r:embed="rId5"/>
        <a:stretch>
          <a:fillRect/>
        </a:stretch>
      </xdr:blipFill>
      <xdr:spPr>
        <a:xfrm>
          <a:off x="6454589" y="15990795"/>
          <a:ext cx="6490147" cy="2466975"/>
        </a:xfrm>
        <a:prstGeom prst="rect">
          <a:avLst/>
        </a:prstGeom>
      </xdr:spPr>
    </xdr:pic>
    <xdr:clientData/>
  </xdr:twoCellAnchor>
  <xdr:twoCellAnchor editAs="oneCell">
    <xdr:from>
      <xdr:col>8</xdr:col>
      <xdr:colOff>35780</xdr:colOff>
      <xdr:row>98</xdr:row>
      <xdr:rowOff>179296</xdr:rowOff>
    </xdr:from>
    <xdr:to>
      <xdr:col>18</xdr:col>
      <xdr:colOff>584069</xdr:colOff>
      <xdr:row>110</xdr:row>
      <xdr:rowOff>179518</xdr:rowOff>
    </xdr:to>
    <xdr:pic>
      <xdr:nvPicPr>
        <xdr:cNvPr id="7" name="Picture 6">
          <a:extLst>
            <a:ext uri="{FF2B5EF4-FFF2-40B4-BE49-F238E27FC236}">
              <a16:creationId xmlns:a16="http://schemas.microsoft.com/office/drawing/2014/main" id="{3E2545EB-1A29-4C2E-A050-5243FBC6646C}"/>
            </a:ext>
          </a:extLst>
        </xdr:cNvPr>
        <xdr:cNvPicPr>
          <a:picLocks noChangeAspect="1"/>
        </xdr:cNvPicPr>
      </xdr:nvPicPr>
      <xdr:blipFill>
        <a:blip xmlns:r="http://schemas.openxmlformats.org/officeDocument/2006/relationships" r:embed="rId6"/>
        <a:stretch>
          <a:fillRect/>
        </a:stretch>
      </xdr:blipFill>
      <xdr:spPr>
        <a:xfrm>
          <a:off x="6523986" y="18848296"/>
          <a:ext cx="6599465" cy="2286222"/>
        </a:xfrm>
        <a:prstGeom prst="rect">
          <a:avLst/>
        </a:prstGeom>
      </xdr:spPr>
    </xdr:pic>
    <xdr:clientData/>
  </xdr:twoCellAnchor>
  <xdr:twoCellAnchor editAs="oneCell">
    <xdr:from>
      <xdr:col>1</xdr:col>
      <xdr:colOff>452718</xdr:colOff>
      <xdr:row>117</xdr:row>
      <xdr:rowOff>66675</xdr:rowOff>
    </xdr:from>
    <xdr:to>
      <xdr:col>9</xdr:col>
      <xdr:colOff>414926</xdr:colOff>
      <xdr:row>157</xdr:row>
      <xdr:rowOff>160961</xdr:rowOff>
    </xdr:to>
    <xdr:pic>
      <xdr:nvPicPr>
        <xdr:cNvPr id="8" name="Picture 7">
          <a:extLst>
            <a:ext uri="{FF2B5EF4-FFF2-40B4-BE49-F238E27FC236}">
              <a16:creationId xmlns:a16="http://schemas.microsoft.com/office/drawing/2014/main" id="{47A2E626-484A-45BD-94C9-49B85D94F41C}"/>
            </a:ext>
          </a:extLst>
        </xdr:cNvPr>
        <xdr:cNvPicPr>
          <a:picLocks noChangeAspect="1"/>
        </xdr:cNvPicPr>
      </xdr:nvPicPr>
      <xdr:blipFill>
        <a:blip xmlns:r="http://schemas.openxmlformats.org/officeDocument/2006/relationships" r:embed="rId7"/>
        <a:stretch>
          <a:fillRect/>
        </a:stretch>
      </xdr:blipFill>
      <xdr:spPr>
        <a:xfrm>
          <a:off x="1057836" y="22355175"/>
          <a:ext cx="6450414" cy="7714286"/>
        </a:xfrm>
        <a:prstGeom prst="rect">
          <a:avLst/>
        </a:prstGeom>
      </xdr:spPr>
    </xdr:pic>
    <xdr:clientData/>
  </xdr:twoCellAnchor>
  <xdr:twoCellAnchor editAs="oneCell">
    <xdr:from>
      <xdr:col>12</xdr:col>
      <xdr:colOff>67236</xdr:colOff>
      <xdr:row>117</xdr:row>
      <xdr:rowOff>0</xdr:rowOff>
    </xdr:from>
    <xdr:to>
      <xdr:col>21</xdr:col>
      <xdr:colOff>599884</xdr:colOff>
      <xdr:row>124</xdr:row>
      <xdr:rowOff>66500</xdr:rowOff>
    </xdr:to>
    <xdr:pic>
      <xdr:nvPicPr>
        <xdr:cNvPr id="9" name="Picture 8">
          <a:extLst>
            <a:ext uri="{FF2B5EF4-FFF2-40B4-BE49-F238E27FC236}">
              <a16:creationId xmlns:a16="http://schemas.microsoft.com/office/drawing/2014/main" id="{30D154A5-0CDA-440D-97F2-8DF2DC5F0526}"/>
            </a:ext>
          </a:extLst>
        </xdr:cNvPr>
        <xdr:cNvPicPr>
          <a:picLocks noChangeAspect="1"/>
        </xdr:cNvPicPr>
      </xdr:nvPicPr>
      <xdr:blipFill>
        <a:blip xmlns:r="http://schemas.openxmlformats.org/officeDocument/2006/relationships" r:embed="rId8"/>
        <a:stretch>
          <a:fillRect/>
        </a:stretch>
      </xdr:blipFill>
      <xdr:spPr>
        <a:xfrm>
          <a:off x="8975912" y="22288500"/>
          <a:ext cx="5978707" cy="1400000"/>
        </a:xfrm>
        <a:prstGeom prst="rect">
          <a:avLst/>
        </a:prstGeom>
      </xdr:spPr>
    </xdr:pic>
    <xdr:clientData/>
  </xdr:twoCellAnchor>
  <xdr:twoCellAnchor editAs="oneCell">
    <xdr:from>
      <xdr:col>12</xdr:col>
      <xdr:colOff>67236</xdr:colOff>
      <xdr:row>125</xdr:row>
      <xdr:rowOff>0</xdr:rowOff>
    </xdr:from>
    <xdr:to>
      <xdr:col>22</xdr:col>
      <xdr:colOff>275998</xdr:colOff>
      <xdr:row>134</xdr:row>
      <xdr:rowOff>9310</xdr:rowOff>
    </xdr:to>
    <xdr:pic>
      <xdr:nvPicPr>
        <xdr:cNvPr id="10" name="Picture 9">
          <a:extLst>
            <a:ext uri="{FF2B5EF4-FFF2-40B4-BE49-F238E27FC236}">
              <a16:creationId xmlns:a16="http://schemas.microsoft.com/office/drawing/2014/main" id="{449A8A6D-E3DD-4155-8B95-1211F7A1B143}"/>
            </a:ext>
          </a:extLst>
        </xdr:cNvPr>
        <xdr:cNvPicPr>
          <a:picLocks noChangeAspect="1"/>
        </xdr:cNvPicPr>
      </xdr:nvPicPr>
      <xdr:blipFill>
        <a:blip xmlns:r="http://schemas.openxmlformats.org/officeDocument/2006/relationships" r:embed="rId9"/>
        <a:stretch>
          <a:fillRect/>
        </a:stretch>
      </xdr:blipFill>
      <xdr:spPr>
        <a:xfrm>
          <a:off x="8975912" y="23812500"/>
          <a:ext cx="6259939" cy="1723810"/>
        </a:xfrm>
        <a:prstGeom prst="rect">
          <a:avLst/>
        </a:prstGeom>
      </xdr:spPr>
    </xdr:pic>
    <xdr:clientData/>
  </xdr:twoCellAnchor>
  <xdr:twoCellAnchor editAs="oneCell">
    <xdr:from>
      <xdr:col>12</xdr:col>
      <xdr:colOff>67236</xdr:colOff>
      <xdr:row>135</xdr:row>
      <xdr:rowOff>0</xdr:rowOff>
    </xdr:from>
    <xdr:to>
      <xdr:col>23</xdr:col>
      <xdr:colOff>32785</xdr:colOff>
      <xdr:row>149</xdr:row>
      <xdr:rowOff>75857</xdr:rowOff>
    </xdr:to>
    <xdr:pic>
      <xdr:nvPicPr>
        <xdr:cNvPr id="11" name="Picture 10">
          <a:extLst>
            <a:ext uri="{FF2B5EF4-FFF2-40B4-BE49-F238E27FC236}">
              <a16:creationId xmlns:a16="http://schemas.microsoft.com/office/drawing/2014/main" id="{A711FE07-FA6F-4561-B40B-805E24BFA7F6}"/>
            </a:ext>
          </a:extLst>
        </xdr:cNvPr>
        <xdr:cNvPicPr>
          <a:picLocks noChangeAspect="1"/>
        </xdr:cNvPicPr>
      </xdr:nvPicPr>
      <xdr:blipFill>
        <a:blip xmlns:r="http://schemas.openxmlformats.org/officeDocument/2006/relationships" r:embed="rId10"/>
        <a:stretch>
          <a:fillRect/>
        </a:stretch>
      </xdr:blipFill>
      <xdr:spPr>
        <a:xfrm>
          <a:off x="8975912" y="25717500"/>
          <a:ext cx="6621844" cy="2742857"/>
        </a:xfrm>
        <a:prstGeom prst="rect">
          <a:avLst/>
        </a:prstGeom>
      </xdr:spPr>
    </xdr:pic>
    <xdr:clientData/>
  </xdr:twoCellAnchor>
  <xdr:twoCellAnchor editAs="oneCell">
    <xdr:from>
      <xdr:col>12</xdr:col>
      <xdr:colOff>67236</xdr:colOff>
      <xdr:row>150</xdr:row>
      <xdr:rowOff>0</xdr:rowOff>
    </xdr:from>
    <xdr:to>
      <xdr:col>22</xdr:col>
      <xdr:colOff>95045</xdr:colOff>
      <xdr:row>160</xdr:row>
      <xdr:rowOff>66429</xdr:rowOff>
    </xdr:to>
    <xdr:pic>
      <xdr:nvPicPr>
        <xdr:cNvPr id="12" name="Picture 11">
          <a:extLst>
            <a:ext uri="{FF2B5EF4-FFF2-40B4-BE49-F238E27FC236}">
              <a16:creationId xmlns:a16="http://schemas.microsoft.com/office/drawing/2014/main" id="{2C395AED-5E54-430D-BE60-4D9B6E60DB2E}"/>
            </a:ext>
          </a:extLst>
        </xdr:cNvPr>
        <xdr:cNvPicPr>
          <a:picLocks noChangeAspect="1"/>
        </xdr:cNvPicPr>
      </xdr:nvPicPr>
      <xdr:blipFill>
        <a:blip xmlns:r="http://schemas.openxmlformats.org/officeDocument/2006/relationships" r:embed="rId11"/>
        <a:stretch>
          <a:fillRect/>
        </a:stretch>
      </xdr:blipFill>
      <xdr:spPr>
        <a:xfrm>
          <a:off x="8975912" y="28575000"/>
          <a:ext cx="6078986" cy="1971429"/>
        </a:xfrm>
        <a:prstGeom prst="rect">
          <a:avLst/>
        </a:prstGeom>
      </xdr:spPr>
    </xdr:pic>
    <xdr:clientData/>
  </xdr:twoCellAnchor>
  <xdr:twoCellAnchor editAs="oneCell">
    <xdr:from>
      <xdr:col>1</xdr:col>
      <xdr:colOff>346364</xdr:colOff>
      <xdr:row>159</xdr:row>
      <xdr:rowOff>173182</xdr:rowOff>
    </xdr:from>
    <xdr:to>
      <xdr:col>9</xdr:col>
      <xdr:colOff>155966</xdr:colOff>
      <xdr:row>190</xdr:row>
      <xdr:rowOff>170658</xdr:rowOff>
    </xdr:to>
    <xdr:pic>
      <xdr:nvPicPr>
        <xdr:cNvPr id="13" name="Picture 12">
          <a:extLst>
            <a:ext uri="{FF2B5EF4-FFF2-40B4-BE49-F238E27FC236}">
              <a16:creationId xmlns:a16="http://schemas.microsoft.com/office/drawing/2014/main" id="{B0537F7B-2054-43CD-941E-7C2ACD96CAE6}"/>
            </a:ext>
          </a:extLst>
        </xdr:cNvPr>
        <xdr:cNvPicPr>
          <a:picLocks noChangeAspect="1"/>
        </xdr:cNvPicPr>
      </xdr:nvPicPr>
      <xdr:blipFill>
        <a:blip xmlns:r="http://schemas.openxmlformats.org/officeDocument/2006/relationships" r:embed="rId12"/>
        <a:stretch>
          <a:fillRect/>
        </a:stretch>
      </xdr:blipFill>
      <xdr:spPr>
        <a:xfrm>
          <a:off x="951482" y="30462682"/>
          <a:ext cx="6297808" cy="5902976"/>
        </a:xfrm>
        <a:prstGeom prst="rect">
          <a:avLst/>
        </a:prstGeom>
      </xdr:spPr>
    </xdr:pic>
    <xdr:clientData/>
  </xdr:twoCellAnchor>
  <xdr:twoCellAnchor editAs="oneCell">
    <xdr:from>
      <xdr:col>10</xdr:col>
      <xdr:colOff>362511</xdr:colOff>
      <xdr:row>160</xdr:row>
      <xdr:rowOff>76200</xdr:rowOff>
    </xdr:from>
    <xdr:to>
      <xdr:col>24</xdr:col>
      <xdr:colOff>332873</xdr:colOff>
      <xdr:row>193</xdr:row>
      <xdr:rowOff>123033</xdr:rowOff>
    </xdr:to>
    <xdr:pic>
      <xdr:nvPicPr>
        <xdr:cNvPr id="14" name="Picture 13">
          <a:extLst>
            <a:ext uri="{FF2B5EF4-FFF2-40B4-BE49-F238E27FC236}">
              <a16:creationId xmlns:a16="http://schemas.microsoft.com/office/drawing/2014/main" id="{0FEDC2CF-6FA1-4E5C-A54F-46B809B6B7E6}"/>
            </a:ext>
          </a:extLst>
        </xdr:cNvPr>
        <xdr:cNvPicPr>
          <a:picLocks noChangeAspect="1"/>
        </xdr:cNvPicPr>
      </xdr:nvPicPr>
      <xdr:blipFill>
        <a:blip xmlns:r="http://schemas.openxmlformats.org/officeDocument/2006/relationships" r:embed="rId13"/>
        <a:stretch>
          <a:fillRect/>
        </a:stretch>
      </xdr:blipFill>
      <xdr:spPr>
        <a:xfrm>
          <a:off x="8060952" y="30556200"/>
          <a:ext cx="8442009" cy="6333333"/>
        </a:xfrm>
        <a:prstGeom prst="rect">
          <a:avLst/>
        </a:prstGeom>
      </xdr:spPr>
    </xdr:pic>
    <xdr:clientData/>
  </xdr:twoCellAnchor>
  <xdr:twoCellAnchor editAs="oneCell">
    <xdr:from>
      <xdr:col>1</xdr:col>
      <xdr:colOff>0</xdr:colOff>
      <xdr:row>193</xdr:row>
      <xdr:rowOff>142875</xdr:rowOff>
    </xdr:from>
    <xdr:to>
      <xdr:col>12</xdr:col>
      <xdr:colOff>147975</xdr:colOff>
      <xdr:row>214</xdr:row>
      <xdr:rowOff>28089</xdr:rowOff>
    </xdr:to>
    <xdr:pic>
      <xdr:nvPicPr>
        <xdr:cNvPr id="15" name="Picture 14">
          <a:extLst>
            <a:ext uri="{FF2B5EF4-FFF2-40B4-BE49-F238E27FC236}">
              <a16:creationId xmlns:a16="http://schemas.microsoft.com/office/drawing/2014/main" id="{616E8BF3-27EC-4A74-81DA-06CBCC50CC4E}"/>
            </a:ext>
          </a:extLst>
        </xdr:cNvPr>
        <xdr:cNvPicPr>
          <a:picLocks noChangeAspect="1"/>
        </xdr:cNvPicPr>
      </xdr:nvPicPr>
      <xdr:blipFill>
        <a:blip xmlns:r="http://schemas.openxmlformats.org/officeDocument/2006/relationships" r:embed="rId14"/>
        <a:stretch>
          <a:fillRect/>
        </a:stretch>
      </xdr:blipFill>
      <xdr:spPr>
        <a:xfrm>
          <a:off x="605118" y="36909375"/>
          <a:ext cx="8451533" cy="3885714"/>
        </a:xfrm>
        <a:prstGeom prst="rect">
          <a:avLst/>
        </a:prstGeom>
      </xdr:spPr>
    </xdr:pic>
    <xdr:clientData/>
  </xdr:twoCellAnchor>
  <xdr:twoCellAnchor editAs="oneCell">
    <xdr:from>
      <xdr:col>1</xdr:col>
      <xdr:colOff>0</xdr:colOff>
      <xdr:row>222</xdr:row>
      <xdr:rowOff>0</xdr:rowOff>
    </xdr:from>
    <xdr:to>
      <xdr:col>16</xdr:col>
      <xdr:colOff>553874</xdr:colOff>
      <xdr:row>258</xdr:row>
      <xdr:rowOff>100853</xdr:rowOff>
    </xdr:to>
    <xdr:pic>
      <xdr:nvPicPr>
        <xdr:cNvPr id="16" name="Picture 15">
          <a:extLst>
            <a:ext uri="{FF2B5EF4-FFF2-40B4-BE49-F238E27FC236}">
              <a16:creationId xmlns:a16="http://schemas.microsoft.com/office/drawing/2014/main" id="{55D1361B-7A24-496C-9011-5B1BA43C7156}"/>
            </a:ext>
          </a:extLst>
        </xdr:cNvPr>
        <xdr:cNvPicPr>
          <a:picLocks noChangeAspect="1"/>
        </xdr:cNvPicPr>
      </xdr:nvPicPr>
      <xdr:blipFill>
        <a:blip xmlns:r="http://schemas.openxmlformats.org/officeDocument/2006/relationships" r:embed="rId15"/>
        <a:stretch>
          <a:fillRect/>
        </a:stretch>
      </xdr:blipFill>
      <xdr:spPr>
        <a:xfrm>
          <a:off x="605118" y="44005500"/>
          <a:ext cx="11277903" cy="6958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332</xdr:row>
      <xdr:rowOff>0</xdr:rowOff>
    </xdr:from>
    <xdr:to>
      <xdr:col>10</xdr:col>
      <xdr:colOff>469695</xdr:colOff>
      <xdr:row>355</xdr:row>
      <xdr:rowOff>142309</xdr:rowOff>
    </xdr:to>
    <xdr:pic>
      <xdr:nvPicPr>
        <xdr:cNvPr id="2" name="Picture 1">
          <a:extLst>
            <a:ext uri="{FF2B5EF4-FFF2-40B4-BE49-F238E27FC236}">
              <a16:creationId xmlns:a16="http://schemas.microsoft.com/office/drawing/2014/main" id="{910C8BED-3946-4C9B-BB8A-79150139C2DD}"/>
            </a:ext>
          </a:extLst>
        </xdr:cNvPr>
        <xdr:cNvPicPr>
          <a:picLocks noChangeAspect="1"/>
        </xdr:cNvPicPr>
      </xdr:nvPicPr>
      <xdr:blipFill>
        <a:blip xmlns:r="http://schemas.openxmlformats.org/officeDocument/2006/relationships" r:embed="rId1"/>
        <a:stretch>
          <a:fillRect/>
        </a:stretch>
      </xdr:blipFill>
      <xdr:spPr>
        <a:xfrm>
          <a:off x="609600" y="73875900"/>
          <a:ext cx="7642020" cy="4523809"/>
        </a:xfrm>
        <a:prstGeom prst="rect">
          <a:avLst/>
        </a:prstGeom>
      </xdr:spPr>
    </xdr:pic>
    <xdr:clientData/>
  </xdr:twoCellAnchor>
  <xdr:twoCellAnchor>
    <xdr:from>
      <xdr:col>11</xdr:col>
      <xdr:colOff>22410</xdr:colOff>
      <xdr:row>333</xdr:row>
      <xdr:rowOff>123264</xdr:rowOff>
    </xdr:from>
    <xdr:to>
      <xdr:col>27</xdr:col>
      <xdr:colOff>347383</xdr:colOff>
      <xdr:row>353</xdr:row>
      <xdr:rowOff>179295</xdr:rowOff>
    </xdr:to>
    <xdr:graphicFrame macro="">
      <xdr:nvGraphicFramePr>
        <xdr:cNvPr id="3" name="Chart 2">
          <a:extLst>
            <a:ext uri="{FF2B5EF4-FFF2-40B4-BE49-F238E27FC236}">
              <a16:creationId xmlns:a16="http://schemas.microsoft.com/office/drawing/2014/main" id="{3C8D02C9-F954-496C-97EC-AB6FA7253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366</xdr:row>
      <xdr:rowOff>0</xdr:rowOff>
    </xdr:from>
    <xdr:to>
      <xdr:col>10</xdr:col>
      <xdr:colOff>183980</xdr:colOff>
      <xdr:row>374</xdr:row>
      <xdr:rowOff>47429</xdr:rowOff>
    </xdr:to>
    <xdr:pic>
      <xdr:nvPicPr>
        <xdr:cNvPr id="4" name="Picture 3">
          <a:extLst>
            <a:ext uri="{FF2B5EF4-FFF2-40B4-BE49-F238E27FC236}">
              <a16:creationId xmlns:a16="http://schemas.microsoft.com/office/drawing/2014/main" id="{D2F4D213-DEC0-4D1D-8CE8-9663E40B31CF}"/>
            </a:ext>
          </a:extLst>
        </xdr:cNvPr>
        <xdr:cNvPicPr>
          <a:picLocks noChangeAspect="1"/>
        </xdr:cNvPicPr>
      </xdr:nvPicPr>
      <xdr:blipFill>
        <a:blip xmlns:r="http://schemas.openxmlformats.org/officeDocument/2006/relationships" r:embed="rId3"/>
        <a:stretch>
          <a:fillRect/>
        </a:stretch>
      </xdr:blipFill>
      <xdr:spPr>
        <a:xfrm>
          <a:off x="609600" y="80352900"/>
          <a:ext cx="7356305" cy="1571429"/>
        </a:xfrm>
        <a:prstGeom prst="rect">
          <a:avLst/>
        </a:prstGeom>
      </xdr:spPr>
    </xdr:pic>
    <xdr:clientData/>
  </xdr:twoCellAnchor>
  <xdr:twoCellAnchor editAs="oneCell">
    <xdr:from>
      <xdr:col>1</xdr:col>
      <xdr:colOff>56030</xdr:colOff>
      <xdr:row>373</xdr:row>
      <xdr:rowOff>168089</xdr:rowOff>
    </xdr:from>
    <xdr:to>
      <xdr:col>10</xdr:col>
      <xdr:colOff>144772</xdr:colOff>
      <xdr:row>384</xdr:row>
      <xdr:rowOff>177351</xdr:rowOff>
    </xdr:to>
    <xdr:pic>
      <xdr:nvPicPr>
        <xdr:cNvPr id="5" name="Picture 4">
          <a:extLst>
            <a:ext uri="{FF2B5EF4-FFF2-40B4-BE49-F238E27FC236}">
              <a16:creationId xmlns:a16="http://schemas.microsoft.com/office/drawing/2014/main" id="{6FE7C162-B3E5-415B-B655-137ABF230EC8}"/>
            </a:ext>
          </a:extLst>
        </xdr:cNvPr>
        <xdr:cNvPicPr>
          <a:picLocks noChangeAspect="1"/>
        </xdr:cNvPicPr>
      </xdr:nvPicPr>
      <xdr:blipFill>
        <a:blip xmlns:r="http://schemas.openxmlformats.org/officeDocument/2006/relationships" r:embed="rId4"/>
        <a:stretch>
          <a:fillRect/>
        </a:stretch>
      </xdr:blipFill>
      <xdr:spPr>
        <a:xfrm>
          <a:off x="665630" y="81854489"/>
          <a:ext cx="7261067" cy="2104762"/>
        </a:xfrm>
        <a:prstGeom prst="rect">
          <a:avLst/>
        </a:prstGeom>
      </xdr:spPr>
    </xdr:pic>
    <xdr:clientData/>
  </xdr:twoCellAnchor>
  <xdr:twoCellAnchor editAs="oneCell">
    <xdr:from>
      <xdr:col>9</xdr:col>
      <xdr:colOff>0</xdr:colOff>
      <xdr:row>232</xdr:row>
      <xdr:rowOff>0</xdr:rowOff>
    </xdr:from>
    <xdr:to>
      <xdr:col>23</xdr:col>
      <xdr:colOff>156529</xdr:colOff>
      <xdr:row>242</xdr:row>
      <xdr:rowOff>139880</xdr:rowOff>
    </xdr:to>
    <xdr:pic>
      <xdr:nvPicPr>
        <xdr:cNvPr id="6" name="Picture 5">
          <a:extLst>
            <a:ext uri="{FF2B5EF4-FFF2-40B4-BE49-F238E27FC236}">
              <a16:creationId xmlns:a16="http://schemas.microsoft.com/office/drawing/2014/main" id="{1E7C3EB5-920F-4ADE-9D03-2D472F7563A0}"/>
            </a:ext>
          </a:extLst>
        </xdr:cNvPr>
        <xdr:cNvPicPr>
          <a:picLocks noChangeAspect="1"/>
        </xdr:cNvPicPr>
      </xdr:nvPicPr>
      <xdr:blipFill>
        <a:blip xmlns:r="http://schemas.openxmlformats.org/officeDocument/2006/relationships" r:embed="rId5"/>
        <a:stretch>
          <a:fillRect/>
        </a:stretch>
      </xdr:blipFill>
      <xdr:spPr>
        <a:xfrm>
          <a:off x="7197587" y="53530500"/>
          <a:ext cx="8811855" cy="2276793"/>
        </a:xfrm>
        <a:prstGeom prst="rect">
          <a:avLst/>
        </a:prstGeom>
      </xdr:spPr>
    </xdr:pic>
    <xdr:clientData/>
  </xdr:twoCellAnchor>
  <xdr:twoCellAnchor editAs="oneCell">
    <xdr:from>
      <xdr:col>9</xdr:col>
      <xdr:colOff>16565</xdr:colOff>
      <xdr:row>242</xdr:row>
      <xdr:rowOff>24849</xdr:rowOff>
    </xdr:from>
    <xdr:to>
      <xdr:col>23</xdr:col>
      <xdr:colOff>192146</xdr:colOff>
      <xdr:row>253</xdr:row>
      <xdr:rowOff>10720</xdr:rowOff>
    </xdr:to>
    <xdr:pic>
      <xdr:nvPicPr>
        <xdr:cNvPr id="7" name="Picture 6">
          <a:extLst>
            <a:ext uri="{FF2B5EF4-FFF2-40B4-BE49-F238E27FC236}">
              <a16:creationId xmlns:a16="http://schemas.microsoft.com/office/drawing/2014/main" id="{957824E4-B467-4673-A7B1-90C9DD0B5BFB}"/>
            </a:ext>
          </a:extLst>
        </xdr:cNvPr>
        <xdr:cNvPicPr>
          <a:picLocks noChangeAspect="1"/>
        </xdr:cNvPicPr>
      </xdr:nvPicPr>
      <xdr:blipFill>
        <a:blip xmlns:r="http://schemas.openxmlformats.org/officeDocument/2006/relationships" r:embed="rId6"/>
        <a:stretch>
          <a:fillRect/>
        </a:stretch>
      </xdr:blipFill>
      <xdr:spPr>
        <a:xfrm>
          <a:off x="7214152" y="55692262"/>
          <a:ext cx="8830907" cy="26197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600809</xdr:colOff>
      <xdr:row>26</xdr:row>
      <xdr:rowOff>937846</xdr:rowOff>
    </xdr:from>
    <xdr:to>
      <xdr:col>3</xdr:col>
      <xdr:colOff>381000</xdr:colOff>
      <xdr:row>26</xdr:row>
      <xdr:rowOff>1361409</xdr:rowOff>
    </xdr:to>
    <xdr:pic>
      <xdr:nvPicPr>
        <xdr:cNvPr id="3" name="Picture 2">
          <a:extLst>
            <a:ext uri="{FF2B5EF4-FFF2-40B4-BE49-F238E27FC236}">
              <a16:creationId xmlns:a16="http://schemas.microsoft.com/office/drawing/2014/main" id="{AB38CCFC-3186-4D57-B10B-02654975A769}"/>
            </a:ext>
          </a:extLst>
        </xdr:cNvPr>
        <xdr:cNvPicPr>
          <a:picLocks noChangeAspect="1"/>
        </xdr:cNvPicPr>
      </xdr:nvPicPr>
      <xdr:blipFill>
        <a:blip xmlns:r="http://schemas.openxmlformats.org/officeDocument/2006/relationships" r:embed="rId1"/>
        <a:stretch>
          <a:fillRect/>
        </a:stretch>
      </xdr:blipFill>
      <xdr:spPr>
        <a:xfrm>
          <a:off x="600809" y="11224846"/>
          <a:ext cx="4777153" cy="423563"/>
        </a:xfrm>
        <a:prstGeom prst="rect">
          <a:avLst/>
        </a:prstGeom>
      </xdr:spPr>
    </xdr:pic>
    <xdr:clientData/>
  </xdr:twoCellAnchor>
  <xdr:twoCellAnchor editAs="oneCell">
    <xdr:from>
      <xdr:col>1</xdr:col>
      <xdr:colOff>29310</xdr:colOff>
      <xdr:row>26</xdr:row>
      <xdr:rowOff>36636</xdr:rowOff>
    </xdr:from>
    <xdr:to>
      <xdr:col>1</xdr:col>
      <xdr:colOff>3355730</xdr:colOff>
      <xdr:row>26</xdr:row>
      <xdr:rowOff>283972</xdr:rowOff>
    </xdr:to>
    <xdr:pic>
      <xdr:nvPicPr>
        <xdr:cNvPr id="7" name="Picture 6">
          <a:extLst>
            <a:ext uri="{FF2B5EF4-FFF2-40B4-BE49-F238E27FC236}">
              <a16:creationId xmlns:a16="http://schemas.microsoft.com/office/drawing/2014/main" id="{904443B2-8884-429D-AE64-CAE0C89E297B}"/>
            </a:ext>
          </a:extLst>
        </xdr:cNvPr>
        <xdr:cNvPicPr>
          <a:picLocks noChangeAspect="1"/>
        </xdr:cNvPicPr>
      </xdr:nvPicPr>
      <xdr:blipFill>
        <a:blip xmlns:r="http://schemas.openxmlformats.org/officeDocument/2006/relationships" r:embed="rId2"/>
        <a:stretch>
          <a:fillRect/>
        </a:stretch>
      </xdr:blipFill>
      <xdr:spPr>
        <a:xfrm>
          <a:off x="637445" y="11085636"/>
          <a:ext cx="3326420" cy="247336"/>
        </a:xfrm>
        <a:prstGeom prst="rect">
          <a:avLst/>
        </a:prstGeom>
      </xdr:spPr>
    </xdr:pic>
    <xdr:clientData/>
  </xdr:twoCellAnchor>
  <xdr:twoCellAnchor editAs="oneCell">
    <xdr:from>
      <xdr:col>0</xdr:col>
      <xdr:colOff>571501</xdr:colOff>
      <xdr:row>26</xdr:row>
      <xdr:rowOff>300404</xdr:rowOff>
    </xdr:from>
    <xdr:to>
      <xdr:col>3</xdr:col>
      <xdr:colOff>191933</xdr:colOff>
      <xdr:row>26</xdr:row>
      <xdr:rowOff>930518</xdr:rowOff>
    </xdr:to>
    <xdr:pic>
      <xdr:nvPicPr>
        <xdr:cNvPr id="21" name="Picture 20">
          <a:extLst>
            <a:ext uri="{FF2B5EF4-FFF2-40B4-BE49-F238E27FC236}">
              <a16:creationId xmlns:a16="http://schemas.microsoft.com/office/drawing/2014/main" id="{2DC64CE5-D1CF-4367-993F-780BE2DDA024}"/>
            </a:ext>
          </a:extLst>
        </xdr:cNvPr>
        <xdr:cNvPicPr>
          <a:picLocks noChangeAspect="1"/>
        </xdr:cNvPicPr>
      </xdr:nvPicPr>
      <xdr:blipFill>
        <a:blip xmlns:r="http://schemas.openxmlformats.org/officeDocument/2006/relationships" r:embed="rId3"/>
        <a:stretch>
          <a:fillRect/>
        </a:stretch>
      </xdr:blipFill>
      <xdr:spPr>
        <a:xfrm>
          <a:off x="571501" y="10587404"/>
          <a:ext cx="4617394" cy="630114"/>
        </a:xfrm>
        <a:prstGeom prst="rect">
          <a:avLst/>
        </a:prstGeom>
      </xdr:spPr>
    </xdr:pic>
    <xdr:clientData/>
  </xdr:twoCellAnchor>
  <xdr:twoCellAnchor editAs="oneCell">
    <xdr:from>
      <xdr:col>10</xdr:col>
      <xdr:colOff>490901</xdr:colOff>
      <xdr:row>26</xdr:row>
      <xdr:rowOff>300404</xdr:rowOff>
    </xdr:from>
    <xdr:to>
      <xdr:col>18</xdr:col>
      <xdr:colOff>3512</xdr:colOff>
      <xdr:row>26</xdr:row>
      <xdr:rowOff>1939276</xdr:rowOff>
    </xdr:to>
    <xdr:pic>
      <xdr:nvPicPr>
        <xdr:cNvPr id="22" name="Picture 21">
          <a:extLst>
            <a:ext uri="{FF2B5EF4-FFF2-40B4-BE49-F238E27FC236}">
              <a16:creationId xmlns:a16="http://schemas.microsoft.com/office/drawing/2014/main" id="{DEA937B3-E5E7-41E3-A5B6-EF28C44F72D6}"/>
            </a:ext>
          </a:extLst>
        </xdr:cNvPr>
        <xdr:cNvPicPr>
          <a:picLocks noChangeAspect="1"/>
        </xdr:cNvPicPr>
      </xdr:nvPicPr>
      <xdr:blipFill>
        <a:blip xmlns:r="http://schemas.openxmlformats.org/officeDocument/2006/relationships" r:embed="rId4"/>
        <a:stretch>
          <a:fillRect/>
        </a:stretch>
      </xdr:blipFill>
      <xdr:spPr>
        <a:xfrm>
          <a:off x="9671536" y="10587404"/>
          <a:ext cx="4377688" cy="1638872"/>
        </a:xfrm>
        <a:prstGeom prst="rect">
          <a:avLst/>
        </a:prstGeom>
      </xdr:spPr>
    </xdr:pic>
    <xdr:clientData/>
  </xdr:twoCellAnchor>
  <xdr:twoCellAnchor editAs="oneCell">
    <xdr:from>
      <xdr:col>3</xdr:col>
      <xdr:colOff>747344</xdr:colOff>
      <xdr:row>26</xdr:row>
      <xdr:rowOff>300404</xdr:rowOff>
    </xdr:from>
    <xdr:to>
      <xdr:col>10</xdr:col>
      <xdr:colOff>143387</xdr:colOff>
      <xdr:row>26</xdr:row>
      <xdr:rowOff>2108621</xdr:rowOff>
    </xdr:to>
    <xdr:pic>
      <xdr:nvPicPr>
        <xdr:cNvPr id="23" name="Picture 22">
          <a:extLst>
            <a:ext uri="{FF2B5EF4-FFF2-40B4-BE49-F238E27FC236}">
              <a16:creationId xmlns:a16="http://schemas.microsoft.com/office/drawing/2014/main" id="{31803ACF-17BC-4707-88F0-2C09BD06D777}"/>
            </a:ext>
          </a:extLst>
        </xdr:cNvPr>
        <xdr:cNvPicPr>
          <a:picLocks noChangeAspect="1"/>
        </xdr:cNvPicPr>
      </xdr:nvPicPr>
      <xdr:blipFill>
        <a:blip xmlns:r="http://schemas.openxmlformats.org/officeDocument/2006/relationships" r:embed="rId5"/>
        <a:stretch>
          <a:fillRect/>
        </a:stretch>
      </xdr:blipFill>
      <xdr:spPr>
        <a:xfrm>
          <a:off x="5348652" y="10587404"/>
          <a:ext cx="4283100" cy="1808217"/>
        </a:xfrm>
        <a:prstGeom prst="rect">
          <a:avLst/>
        </a:prstGeom>
      </xdr:spPr>
    </xdr:pic>
    <xdr:clientData/>
  </xdr:twoCellAnchor>
  <xdr:twoCellAnchor editAs="oneCell">
    <xdr:from>
      <xdr:col>1</xdr:col>
      <xdr:colOff>29304</xdr:colOff>
      <xdr:row>26</xdr:row>
      <xdr:rowOff>1458058</xdr:rowOff>
    </xdr:from>
    <xdr:to>
      <xdr:col>2</xdr:col>
      <xdr:colOff>527535</xdr:colOff>
      <xdr:row>26</xdr:row>
      <xdr:rowOff>2579967</xdr:rowOff>
    </xdr:to>
    <xdr:pic>
      <xdr:nvPicPr>
        <xdr:cNvPr id="24" name="Picture 23">
          <a:extLst>
            <a:ext uri="{FF2B5EF4-FFF2-40B4-BE49-F238E27FC236}">
              <a16:creationId xmlns:a16="http://schemas.microsoft.com/office/drawing/2014/main" id="{CA1E2E5C-86B4-452C-B0D6-97723D4AFC6C}"/>
            </a:ext>
          </a:extLst>
        </xdr:cNvPr>
        <xdr:cNvPicPr>
          <a:picLocks noChangeAspect="1"/>
        </xdr:cNvPicPr>
      </xdr:nvPicPr>
      <xdr:blipFill>
        <a:blip xmlns:r="http://schemas.openxmlformats.org/officeDocument/2006/relationships" r:embed="rId6"/>
        <a:stretch>
          <a:fillRect/>
        </a:stretch>
      </xdr:blipFill>
      <xdr:spPr>
        <a:xfrm>
          <a:off x="637439" y="11745058"/>
          <a:ext cx="4051788" cy="1121909"/>
        </a:xfrm>
        <a:prstGeom prst="rect">
          <a:avLst/>
        </a:prstGeom>
      </xdr:spPr>
    </xdr:pic>
    <xdr:clientData/>
  </xdr:twoCellAnchor>
  <xdr:oneCellAnchor>
    <xdr:from>
      <xdr:col>4</xdr:col>
      <xdr:colOff>19050</xdr:colOff>
      <xdr:row>121</xdr:row>
      <xdr:rowOff>171450</xdr:rowOff>
    </xdr:from>
    <xdr:ext cx="3566794" cy="876143"/>
    <xdr:pic>
      <xdr:nvPicPr>
        <xdr:cNvPr id="11" name="Picture 10">
          <a:extLst>
            <a:ext uri="{FF2B5EF4-FFF2-40B4-BE49-F238E27FC236}">
              <a16:creationId xmlns:a16="http://schemas.microsoft.com/office/drawing/2014/main" id="{8E1C889B-6EE4-4CFB-929F-F4B7AECCFC94}"/>
            </a:ext>
          </a:extLst>
        </xdr:cNvPr>
        <xdr:cNvPicPr>
          <a:picLocks noChangeAspect="1"/>
        </xdr:cNvPicPr>
      </xdr:nvPicPr>
      <xdr:blipFill>
        <a:blip xmlns:r="http://schemas.openxmlformats.org/officeDocument/2006/relationships" r:embed="rId7"/>
        <a:stretch>
          <a:fillRect/>
        </a:stretch>
      </xdr:blipFill>
      <xdr:spPr>
        <a:xfrm>
          <a:off x="3657600" y="17125950"/>
          <a:ext cx="3566794" cy="876143"/>
        </a:xfrm>
        <a:prstGeom prst="rect">
          <a:avLst/>
        </a:prstGeom>
      </xdr:spPr>
    </xdr:pic>
    <xdr:clientData/>
  </xdr:oneCellAnchor>
  <xdr:oneCellAnchor>
    <xdr:from>
      <xdr:col>9</xdr:col>
      <xdr:colOff>297762</xdr:colOff>
      <xdr:row>117</xdr:row>
      <xdr:rowOff>107674</xdr:rowOff>
    </xdr:from>
    <xdr:ext cx="5152610" cy="1940687"/>
    <xdr:pic>
      <xdr:nvPicPr>
        <xdr:cNvPr id="12" name="Picture 11">
          <a:extLst>
            <a:ext uri="{FF2B5EF4-FFF2-40B4-BE49-F238E27FC236}">
              <a16:creationId xmlns:a16="http://schemas.microsoft.com/office/drawing/2014/main" id="{27D1CDF1-5792-4ABF-906A-6ED6EE6B5D51}"/>
            </a:ext>
          </a:extLst>
        </xdr:cNvPr>
        <xdr:cNvPicPr>
          <a:picLocks noChangeAspect="1"/>
        </xdr:cNvPicPr>
      </xdr:nvPicPr>
      <xdr:blipFill>
        <a:blip xmlns:r="http://schemas.openxmlformats.org/officeDocument/2006/relationships" r:embed="rId8"/>
        <a:stretch>
          <a:fillRect/>
        </a:stretch>
      </xdr:blipFill>
      <xdr:spPr>
        <a:xfrm>
          <a:off x="6965262" y="16300174"/>
          <a:ext cx="5152610" cy="1940687"/>
        </a:xfrm>
        <a:prstGeom prst="rect">
          <a:avLst/>
        </a:prstGeom>
      </xdr:spPr>
    </xdr:pic>
    <xdr:clientData/>
  </xdr:oneCellAnchor>
  <xdr:oneCellAnchor>
    <xdr:from>
      <xdr:col>14</xdr:col>
      <xdr:colOff>66263</xdr:colOff>
      <xdr:row>127</xdr:row>
      <xdr:rowOff>165653</xdr:rowOff>
    </xdr:from>
    <xdr:ext cx="5718312" cy="1543427"/>
    <xdr:pic>
      <xdr:nvPicPr>
        <xdr:cNvPr id="13" name="Picture 12">
          <a:extLst>
            <a:ext uri="{FF2B5EF4-FFF2-40B4-BE49-F238E27FC236}">
              <a16:creationId xmlns:a16="http://schemas.microsoft.com/office/drawing/2014/main" id="{5F2EDDBF-D893-4BD3-B092-B11295796A36}"/>
            </a:ext>
          </a:extLst>
        </xdr:cNvPr>
        <xdr:cNvPicPr>
          <a:picLocks noChangeAspect="1"/>
        </xdr:cNvPicPr>
      </xdr:nvPicPr>
      <xdr:blipFill>
        <a:blip xmlns:r="http://schemas.openxmlformats.org/officeDocument/2006/relationships" r:embed="rId9"/>
        <a:stretch>
          <a:fillRect/>
        </a:stretch>
      </xdr:blipFill>
      <xdr:spPr>
        <a:xfrm>
          <a:off x="9781763" y="18263153"/>
          <a:ext cx="5718312" cy="154342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13</xdr:col>
      <xdr:colOff>287488</xdr:colOff>
      <xdr:row>74</xdr:row>
      <xdr:rowOff>16578</xdr:rowOff>
    </xdr:from>
    <xdr:to>
      <xdr:col>18</xdr:col>
      <xdr:colOff>33616</xdr:colOff>
      <xdr:row>85</xdr:row>
      <xdr:rowOff>134470</xdr:rowOff>
    </xdr:to>
    <xdr:graphicFrame macro="">
      <xdr:nvGraphicFramePr>
        <xdr:cNvPr id="3" name="Chart 2">
          <a:extLst>
            <a:ext uri="{FF2B5EF4-FFF2-40B4-BE49-F238E27FC236}">
              <a16:creationId xmlns:a16="http://schemas.microsoft.com/office/drawing/2014/main" id="{F40A6EF2-1701-4574-A8E5-D6D65D6C77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13</xdr:col>
      <xdr:colOff>287488</xdr:colOff>
      <xdr:row>74</xdr:row>
      <xdr:rowOff>16578</xdr:rowOff>
    </xdr:from>
    <xdr:to>
      <xdr:col>18</xdr:col>
      <xdr:colOff>33616</xdr:colOff>
      <xdr:row>85</xdr:row>
      <xdr:rowOff>134470</xdr:rowOff>
    </xdr:to>
    <xdr:graphicFrame macro="">
      <xdr:nvGraphicFramePr>
        <xdr:cNvPr id="2" name="Chart 1">
          <a:extLst>
            <a:ext uri="{FF2B5EF4-FFF2-40B4-BE49-F238E27FC236}">
              <a16:creationId xmlns:a16="http://schemas.microsoft.com/office/drawing/2014/main" id="{C83CD0DC-BCF9-473A-A90D-1C7E43BA4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287488</xdr:colOff>
      <xdr:row>74</xdr:row>
      <xdr:rowOff>16578</xdr:rowOff>
    </xdr:from>
    <xdr:to>
      <xdr:col>18</xdr:col>
      <xdr:colOff>33616</xdr:colOff>
      <xdr:row>85</xdr:row>
      <xdr:rowOff>134470</xdr:rowOff>
    </xdr:to>
    <xdr:graphicFrame macro="">
      <xdr:nvGraphicFramePr>
        <xdr:cNvPr id="2" name="Chart 1">
          <a:extLst>
            <a:ext uri="{FF2B5EF4-FFF2-40B4-BE49-F238E27FC236}">
              <a16:creationId xmlns:a16="http://schemas.microsoft.com/office/drawing/2014/main" id="{825D2CFC-EFF5-4108-991D-3705AE057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287488</xdr:colOff>
      <xdr:row>74</xdr:row>
      <xdr:rowOff>16578</xdr:rowOff>
    </xdr:from>
    <xdr:to>
      <xdr:col>18</xdr:col>
      <xdr:colOff>33616</xdr:colOff>
      <xdr:row>85</xdr:row>
      <xdr:rowOff>134470</xdr:rowOff>
    </xdr:to>
    <xdr:graphicFrame macro="">
      <xdr:nvGraphicFramePr>
        <xdr:cNvPr id="2" name="Chart 1">
          <a:extLst>
            <a:ext uri="{FF2B5EF4-FFF2-40B4-BE49-F238E27FC236}">
              <a16:creationId xmlns:a16="http://schemas.microsoft.com/office/drawing/2014/main" id="{D191218F-A7DA-48C2-B7C5-A75286E73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Lash, Daniel" id="{C703131D-1547-4D34-87DB-9038A1F7DA3F}" userId="S::D.Lash@exeter.ac.uk::694deabd-7746-469f-b9d5-ac5ab73ad4a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18" dT="2022-01-27T08:33:43.74" personId="{C703131D-1547-4D34-87DB-9038A1F7DA3F}" id="{5AB05C08-1CA8-4D43-A798-C64D700DC909}">
    <text>This value changed from 240 in 2019 Impact Assessment</text>
  </threadedComment>
</ThreadedComments>
</file>

<file path=xl/threadedComments/threadedComment2.xml><?xml version="1.0" encoding="utf-8"?>
<ThreadedComments xmlns="http://schemas.microsoft.com/office/spreadsheetml/2018/threadedcomments" xmlns:x="http://schemas.openxmlformats.org/spreadsheetml/2006/main">
  <threadedComment ref="B223" dT="2022-02-04T10:37:45.00" personId="{C703131D-1547-4D34-87DB-9038A1F7DA3F}" id="{6E54F802-8E37-44C9-8DC4-E96F56FD1B9C}">
    <text>Monthly heat demand taken as estimate from the logging of a house with a heat pump from: https://trystanlea.org.uk/heatpump2020</text>
  </threadedComment>
  <threadedComment ref="B237" dT="2022-02-04T10:37:51.18" personId="{C703131D-1547-4D34-87DB-9038A1F7DA3F}" id="{8EAE50EA-95DE-490C-88D6-3FA05CF59F80}">
    <text>Monthly heat demand taken as estimate from the logging of a house with a heat pump from: https://trystanlea.org.uk/heatpump2020</text>
  </threadedComment>
  <threadedComment ref="B241" dT="2022-02-04T10:38:41.97" personId="{C703131D-1547-4D34-87DB-9038A1F7DA3F}" id="{CFB72B11-6F7C-4FF1-B865-367DABB79A8C}">
    <text>Monthly heat demand taken as estimate from the logging of a house with a heat pump from: https://trystanlea.org.uk/heatpump2020</text>
  </threadedComment>
</ThreadedComments>
</file>

<file path=xl/threadedComments/threadedComment3.xml><?xml version="1.0" encoding="utf-8"?>
<ThreadedComments xmlns="http://schemas.microsoft.com/office/spreadsheetml/2018/threadedcomments" xmlns:x="http://schemas.openxmlformats.org/spreadsheetml/2006/main">
  <threadedComment ref="B25" dT="2022-01-27T14:54:57.11" personId="{C703131D-1547-4D34-87DB-9038A1F7DA3F}" id="{9CE3F6FD-CD51-4F2F-AC4D-187387A54B4A}">
    <text>power = 185 x TFA / efficacy</text>
  </threadedComment>
  <threadedComment ref="B82" dT="2022-02-02T15:02:08.91" personId="{C703131D-1547-4D34-87DB-9038A1F7DA3F}" id="{BE495C2A-5AFF-40F2-B541-9BF6A3FA59D0}">
    <text>Calculated assuming = 1/3 x N x V with reductions if MVHR present.</text>
  </threadedComment>
  <threadedComment ref="B83" dT="2022-02-02T15:02:32.25" personId="{C703131D-1547-4D34-87DB-9038A1F7DA3F}" id="{8D9D8255-BFD8-41A5-B0AF-A43A06C70263}">
    <text>Calculated assuming = 1/3 x N x V with N being based on the "1/20" conversion rule of thumb for pressure test value.</text>
  </threadedComment>
</ThreadedComments>
</file>

<file path=xl/threadedComments/threadedComment4.xml><?xml version="1.0" encoding="utf-8"?>
<ThreadedComments xmlns="http://schemas.microsoft.com/office/spreadsheetml/2018/threadedcomments" xmlns:x="http://schemas.openxmlformats.org/spreadsheetml/2006/main">
  <threadedComment ref="B25" dT="2022-01-27T14:54:57.11" personId="{C703131D-1547-4D34-87DB-9038A1F7DA3F}" id="{70B2F213-78EF-45C1-994C-7A65029C3327}">
    <text>power = 185 x TFA / efficacy</text>
  </threadedComment>
  <threadedComment ref="B82" dT="2022-02-02T15:02:08.91" personId="{C703131D-1547-4D34-87DB-9038A1F7DA3F}" id="{986821C9-FDB8-4BCC-91FD-C43357248632}">
    <text>Calculated assuming = 1/3 x N x V with reductions if MVHR present.</text>
  </threadedComment>
  <threadedComment ref="B83" dT="2022-02-02T15:02:32.25" personId="{C703131D-1547-4D34-87DB-9038A1F7DA3F}" id="{361DB180-CCD0-4569-8FBD-142394C886F8}">
    <text>Calculated assuming = 1/3 x N x V with N being based on the "1/20" conversion rule of thumb for pressure test value.</text>
  </threadedComment>
</ThreadedComments>
</file>

<file path=xl/threadedComments/threadedComment5.xml><?xml version="1.0" encoding="utf-8"?>
<ThreadedComments xmlns="http://schemas.microsoft.com/office/spreadsheetml/2018/threadedcomments" xmlns:x="http://schemas.openxmlformats.org/spreadsheetml/2006/main">
  <threadedComment ref="B25" dT="2022-01-27T14:54:57.11" personId="{C703131D-1547-4D34-87DB-9038A1F7DA3F}" id="{6DAA55AE-BD4E-44C7-9057-1BCBBACFA238}">
    <text>power = 185 x TFA / efficacy</text>
  </threadedComment>
  <threadedComment ref="B82" dT="2022-02-02T15:02:08.91" personId="{C703131D-1547-4D34-87DB-9038A1F7DA3F}" id="{D445E9FE-BA59-4A13-BB84-7A5EEB6DDF92}">
    <text>Calculated assuming = 1/3 x N x V with reductions if MVHR present.</text>
  </threadedComment>
  <threadedComment ref="B83" dT="2022-02-02T15:02:32.25" personId="{C703131D-1547-4D34-87DB-9038A1F7DA3F}" id="{4E42DC59-667F-40CB-AF18-AABD4D0F3260}">
    <text>Calculated assuming = 1/3 x N x V with N being based on the "1/20" conversion rule of thumb for pressure test value.</text>
  </threadedComment>
</ThreadedComments>
</file>

<file path=xl/threadedComments/threadedComment6.xml><?xml version="1.0" encoding="utf-8"?>
<ThreadedComments xmlns="http://schemas.microsoft.com/office/spreadsheetml/2018/threadedcomments" xmlns:x="http://schemas.openxmlformats.org/spreadsheetml/2006/main">
  <threadedComment ref="B25" dT="2022-01-27T14:54:57.11" personId="{C703131D-1547-4D34-87DB-9038A1F7DA3F}" id="{911616F6-A022-4594-BC0A-025FB58C87C7}">
    <text>power = 185 x TFA / efficacy</text>
  </threadedComment>
  <threadedComment ref="B82" dT="2022-02-02T15:02:08.91" personId="{C703131D-1547-4D34-87DB-9038A1F7DA3F}" id="{E3F23123-1AAB-42CB-93B4-CF500D5ADAB3}">
    <text>Calculated assuming = 1/3 x N x V with reductions if MVHR present.</text>
  </threadedComment>
  <threadedComment ref="B83" dT="2022-02-02T15:02:32.25" personId="{C703131D-1547-4D34-87DB-9038A1F7DA3F}" id="{453AF729-A377-433E-B65E-161601AE2849}">
    <text>Calculated assuming = 1/3 x N x V with N being based on the "1/20" conversion rule of thumb for pressure test value.</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E0D4E93-A48A-49E7-AB23-CC9BB4333982}">
  <we:reference id="db18cc72-1a17-45df-b60e-7ffb655e8af5" version="1.0.0.2" store="EXCatalog" storeType="EXCatalog"/>
  <we:alternateReferences>
    <we:reference id="WA104381701" version="1.0.0.2" store="en-GB"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leti.london/_files/ugd/252d09_3c7a09c2c0344ca58db190c5e13584bb.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inbalance-energy.co.uk/articles/solar_panels_pv_calculator.html" TargetMode="External"/><Relationship Id="rId6" Type="http://schemas.microsoft.com/office/2017/10/relationships/threadedComment" Target="../threadedComments/threadedComment2.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47"/>
  <sheetViews>
    <sheetView showGridLines="0" showRowColHeaders="0" tabSelected="1" zoomScaleNormal="100" workbookViewId="0"/>
  </sheetViews>
  <sheetFormatPr defaultRowHeight="14.4"/>
  <cols>
    <col min="2" max="2" width="19.21875" customWidth="1"/>
  </cols>
  <sheetData>
    <row r="2" spans="2:2" ht="144.75" customHeight="1"/>
    <row r="4" spans="2:2" ht="28.8">
      <c r="B4" s="197" t="s">
        <v>904</v>
      </c>
    </row>
    <row r="44" spans="2:2" ht="15" thickBot="1"/>
    <row r="45" spans="2:2" ht="15" thickBot="1">
      <c r="B45" s="198" t="s">
        <v>871</v>
      </c>
    </row>
    <row r="46" spans="2:2" ht="15" thickBot="1"/>
    <row r="47" spans="2:2" ht="15" thickBot="1">
      <c r="B47" s="198" t="s">
        <v>870</v>
      </c>
    </row>
  </sheetData>
  <hyperlinks>
    <hyperlink ref="B45" location="INPUT!A1" display="Go to OUTPUT"/>
    <hyperlink ref="B47" location="OUTPUT!A1" display="Go to OUTPUT"/>
  </hyperlinks>
  <printOptions horizontalCentered="1"/>
  <pageMargins left="0.70866141732283472" right="0.70866141732283472" top="0.74803149606299213" bottom="0.74803149606299213" header="0.31496062992125984" footer="0.31496062992125984"/>
  <pageSetup paperSize="9" scale="5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H147"/>
  <sheetViews>
    <sheetView zoomScale="85" zoomScaleNormal="85" workbookViewId="0">
      <pane xSplit="2" ySplit="3" topLeftCell="C4" activePane="bottomRight" state="frozen"/>
      <selection activeCell="B3" sqref="B3"/>
      <selection pane="topRight" activeCell="B3" sqref="B3"/>
      <selection pane="bottomLeft" activeCell="B3" sqref="B3"/>
      <selection pane="bottomRight" activeCell="B3" sqref="B3"/>
    </sheetView>
  </sheetViews>
  <sheetFormatPr defaultRowHeight="14.4"/>
  <cols>
    <col min="1" max="1" width="7.21875" customWidth="1"/>
    <col min="2" max="2" width="44.77734375" customWidth="1"/>
    <col min="3" max="3" width="30.77734375" style="164" customWidth="1"/>
    <col min="4" max="19" width="12.21875" style="50" customWidth="1"/>
    <col min="20" max="20" width="12.21875" customWidth="1"/>
    <col min="22" max="22" width="28" style="11" customWidth="1"/>
    <col min="23" max="23" width="9.44140625" customWidth="1"/>
    <col min="41" max="41" width="37.77734375" customWidth="1"/>
  </cols>
  <sheetData>
    <row r="1" spans="2:58" ht="16.5" customHeight="1">
      <c r="C1" s="63" t="s">
        <v>381</v>
      </c>
      <c r="D1" s="52" t="s">
        <v>382</v>
      </c>
      <c r="E1" s="53" t="s">
        <v>383</v>
      </c>
      <c r="F1" s="54" t="s">
        <v>384</v>
      </c>
      <c r="G1" s="134" t="s">
        <v>678</v>
      </c>
      <c r="H1" s="55" t="s">
        <v>385</v>
      </c>
      <c r="X1" s="50"/>
      <c r="Y1" s="4"/>
    </row>
    <row r="2" spans="2:58">
      <c r="B2" s="1" t="s">
        <v>789</v>
      </c>
      <c r="D2" s="51" t="s">
        <v>618</v>
      </c>
      <c r="E2" s="51"/>
      <c r="T2" s="50"/>
      <c r="U2" s="51"/>
      <c r="V2" s="51" t="s">
        <v>522</v>
      </c>
    </row>
    <row r="3" spans="2:58" s="120" customFormat="1" ht="72">
      <c r="B3" s="115" t="s">
        <v>294</v>
      </c>
      <c r="C3" s="116" t="s">
        <v>336</v>
      </c>
      <c r="D3" s="117" t="s">
        <v>343</v>
      </c>
      <c r="E3" s="117" t="s">
        <v>721</v>
      </c>
      <c r="F3" s="117" t="s">
        <v>721</v>
      </c>
      <c r="G3" s="117" t="s">
        <v>600</v>
      </c>
      <c r="H3" s="117" t="s">
        <v>600</v>
      </c>
      <c r="I3" s="117" t="s">
        <v>600</v>
      </c>
      <c r="J3" s="117" t="s">
        <v>600</v>
      </c>
      <c r="K3" s="117" t="s">
        <v>601</v>
      </c>
      <c r="L3" s="117" t="s">
        <v>601</v>
      </c>
      <c r="M3" s="117" t="s">
        <v>602</v>
      </c>
      <c r="N3" s="117" t="s">
        <v>602</v>
      </c>
      <c r="O3" s="117" t="s">
        <v>603</v>
      </c>
      <c r="P3" s="117" t="s">
        <v>603</v>
      </c>
      <c r="Q3" s="117" t="s">
        <v>604</v>
      </c>
      <c r="R3" s="117" t="s">
        <v>604</v>
      </c>
      <c r="S3" s="117" t="s">
        <v>351</v>
      </c>
      <c r="T3" s="117" t="s">
        <v>791</v>
      </c>
      <c r="U3" s="119"/>
      <c r="V3" s="139" t="s">
        <v>16</v>
      </c>
      <c r="W3" s="117" t="s">
        <v>343</v>
      </c>
      <c r="X3" s="117" t="s">
        <v>435</v>
      </c>
      <c r="Y3" s="117" t="s">
        <v>436</v>
      </c>
      <c r="Z3" s="117" t="s">
        <v>437</v>
      </c>
      <c r="AA3" s="117" t="s">
        <v>438</v>
      </c>
      <c r="AB3" s="117" t="s">
        <v>439</v>
      </c>
      <c r="AC3" s="117" t="s">
        <v>440</v>
      </c>
      <c r="AD3" s="117" t="s">
        <v>441</v>
      </c>
      <c r="AE3" s="117" t="s">
        <v>442</v>
      </c>
      <c r="AF3" s="117" t="s">
        <v>443</v>
      </c>
      <c r="AG3" s="117" t="s">
        <v>444</v>
      </c>
      <c r="AH3" s="117" t="s">
        <v>445</v>
      </c>
      <c r="AI3" s="117" t="s">
        <v>446</v>
      </c>
      <c r="AJ3" s="117" t="s">
        <v>447</v>
      </c>
      <c r="AK3" s="117" t="s">
        <v>677</v>
      </c>
      <c r="AL3" s="117" t="s">
        <v>351</v>
      </c>
      <c r="AM3" s="117" t="s">
        <v>791</v>
      </c>
      <c r="AO3" s="139" t="s">
        <v>695</v>
      </c>
      <c r="AP3" s="117" t="s">
        <v>343</v>
      </c>
      <c r="AQ3" s="117" t="s">
        <v>435</v>
      </c>
      <c r="AR3" s="117" t="s">
        <v>436</v>
      </c>
      <c r="AS3" s="117" t="s">
        <v>437</v>
      </c>
      <c r="AT3" s="117" t="s">
        <v>438</v>
      </c>
      <c r="AU3" s="117" t="s">
        <v>439</v>
      </c>
      <c r="AV3" s="117" t="s">
        <v>440</v>
      </c>
      <c r="AW3" s="117" t="s">
        <v>441</v>
      </c>
      <c r="AX3" s="117" t="s">
        <v>442</v>
      </c>
      <c r="AY3" s="117" t="s">
        <v>443</v>
      </c>
      <c r="AZ3" s="117" t="s">
        <v>444</v>
      </c>
      <c r="BA3" s="117" t="s">
        <v>445</v>
      </c>
      <c r="BB3" s="117" t="s">
        <v>446</v>
      </c>
      <c r="BC3" s="117" t="s">
        <v>447</v>
      </c>
      <c r="BD3" s="117" t="s">
        <v>677</v>
      </c>
      <c r="BE3" s="117" t="s">
        <v>351</v>
      </c>
      <c r="BF3" s="117" t="s">
        <v>791</v>
      </c>
    </row>
    <row r="4" spans="2:58">
      <c r="C4" s="129" t="s">
        <v>345</v>
      </c>
      <c r="D4" s="52" t="s">
        <v>29</v>
      </c>
      <c r="E4" s="54" t="s">
        <v>29</v>
      </c>
      <c r="F4" s="54" t="s">
        <v>20</v>
      </c>
      <c r="G4" s="54" t="s">
        <v>29</v>
      </c>
      <c r="H4" s="54" t="s">
        <v>20</v>
      </c>
      <c r="I4" s="54" t="s">
        <v>29</v>
      </c>
      <c r="J4" s="54" t="s">
        <v>20</v>
      </c>
      <c r="K4" s="54" t="s">
        <v>29</v>
      </c>
      <c r="L4" s="54" t="s">
        <v>20</v>
      </c>
      <c r="M4" s="54" t="s">
        <v>29</v>
      </c>
      <c r="N4" s="54" t="s">
        <v>20</v>
      </c>
      <c r="O4" s="54" t="s">
        <v>29</v>
      </c>
      <c r="P4" s="54" t="s">
        <v>20</v>
      </c>
      <c r="Q4" s="54" t="s">
        <v>29</v>
      </c>
      <c r="R4" s="54" t="s">
        <v>20</v>
      </c>
      <c r="S4" s="52" t="s">
        <v>20</v>
      </c>
      <c r="T4" s="134" t="str">
        <f>INPUT!C34</f>
        <v>ASHP</v>
      </c>
      <c r="U4" s="50"/>
      <c r="V4" s="11" t="s">
        <v>699</v>
      </c>
      <c r="W4" s="50">
        <f>IF(D4="Gas",'C&amp;B'!$E$247,'C&amp;B'!$E$257)</f>
        <v>7452</v>
      </c>
      <c r="X4" s="50">
        <f>IF(E4="Gas",'C&amp;B'!$E$247,'C&amp;B'!$E$257)</f>
        <v>7452</v>
      </c>
      <c r="Y4" s="50">
        <f>IF(F4="Gas",'C&amp;B'!$E$247,'C&amp;B'!$E$257)</f>
        <v>3033</v>
      </c>
      <c r="Z4" s="50">
        <f>IF(G4="Gas",'C&amp;B'!$E$247,'C&amp;B'!$E$257)</f>
        <v>7452</v>
      </c>
      <c r="AA4" s="50">
        <f>IF(H4="Gas",'C&amp;B'!$E$247,'C&amp;B'!$E$257)</f>
        <v>3033</v>
      </c>
      <c r="AB4" s="50">
        <f>IF(I4="Gas",'C&amp;B'!$E$247,'C&amp;B'!$E$257)</f>
        <v>7452</v>
      </c>
      <c r="AC4" s="50">
        <f>IF(J4="Gas",'C&amp;B'!$E$247,'C&amp;B'!$E$257)</f>
        <v>3033</v>
      </c>
      <c r="AD4" s="50">
        <f>IF(K4="Gas",'C&amp;B'!$E$247,'C&amp;B'!$E$257)</f>
        <v>7452</v>
      </c>
      <c r="AE4" s="50">
        <f>IF(L4="Gas",'C&amp;B'!$E$247,'C&amp;B'!$E$257)</f>
        <v>3033</v>
      </c>
      <c r="AF4" s="50">
        <f>IF(M4="Gas",'C&amp;B'!$E$247,'C&amp;B'!$E$257)</f>
        <v>7452</v>
      </c>
      <c r="AG4" s="50">
        <f>IF(N4="Gas",'C&amp;B'!$E$247,'C&amp;B'!$E$257)</f>
        <v>3033</v>
      </c>
      <c r="AH4" s="50">
        <f>IF(O4="Gas",'C&amp;B'!$E$247,'C&amp;B'!$E$257)</f>
        <v>7452</v>
      </c>
      <c r="AI4" s="50">
        <f>IF(P4="Gas",'C&amp;B'!$E$247,'C&amp;B'!$E$257)</f>
        <v>3033</v>
      </c>
      <c r="AJ4" s="50">
        <f>IF(Q4="Gas",'C&amp;B'!$E$247,'C&amp;B'!$E$257)</f>
        <v>7452</v>
      </c>
      <c r="AK4" s="50">
        <f>IF(R4="Gas",'C&amp;B'!$E$247,'C&amp;B'!$E$257)</f>
        <v>3033</v>
      </c>
      <c r="AL4" s="50">
        <f>IF(S4="Gas",'C&amp;B'!$E$247,'C&amp;B'!$E$257)</f>
        <v>3033</v>
      </c>
      <c r="AM4" s="50">
        <f>IF(T4="Gas",'C&amp;B'!$E$247,'C&amp;B'!$E$257)</f>
        <v>3033</v>
      </c>
      <c r="AO4" s="164">
        <v>1</v>
      </c>
      <c r="AP4" s="14">
        <f t="shared" ref="AP4:BE6" si="0">$AO4*W4</f>
        <v>7452</v>
      </c>
      <c r="AQ4" s="14">
        <f t="shared" si="0"/>
        <v>7452</v>
      </c>
      <c r="AR4" s="14">
        <f t="shared" si="0"/>
        <v>3033</v>
      </c>
      <c r="AS4" s="14">
        <f t="shared" si="0"/>
        <v>7452</v>
      </c>
      <c r="AT4" s="14">
        <f t="shared" si="0"/>
        <v>3033</v>
      </c>
      <c r="AU4" s="14">
        <f t="shared" si="0"/>
        <v>7452</v>
      </c>
      <c r="AV4" s="14">
        <f t="shared" si="0"/>
        <v>3033</v>
      </c>
      <c r="AW4" s="14">
        <f t="shared" si="0"/>
        <v>7452</v>
      </c>
      <c r="AX4" s="14">
        <f t="shared" si="0"/>
        <v>3033</v>
      </c>
      <c r="AY4" s="14">
        <f t="shared" si="0"/>
        <v>7452</v>
      </c>
      <c r="AZ4" s="14">
        <f t="shared" si="0"/>
        <v>3033</v>
      </c>
      <c r="BA4" s="14">
        <f t="shared" si="0"/>
        <v>7452</v>
      </c>
      <c r="BB4" s="14">
        <f t="shared" si="0"/>
        <v>3033</v>
      </c>
      <c r="BC4" s="14">
        <f t="shared" si="0"/>
        <v>7452</v>
      </c>
      <c r="BD4" s="14">
        <f t="shared" si="0"/>
        <v>3033</v>
      </c>
      <c r="BE4" s="14">
        <f t="shared" si="0"/>
        <v>3033</v>
      </c>
      <c r="BF4" s="14">
        <f t="shared" ref="AQ4:BF19" si="1">$AO4*AM4</f>
        <v>3033</v>
      </c>
    </row>
    <row r="5" spans="2:58" s="4" customFormat="1">
      <c r="C5" s="129" t="s">
        <v>342</v>
      </c>
      <c r="D5" s="141" t="s">
        <v>688</v>
      </c>
      <c r="E5" s="140" t="s">
        <v>688</v>
      </c>
      <c r="F5" s="140" t="s">
        <v>688</v>
      </c>
      <c r="G5" s="140" t="s">
        <v>688</v>
      </c>
      <c r="H5" s="140" t="s">
        <v>688</v>
      </c>
      <c r="I5" s="140" t="s">
        <v>142</v>
      </c>
      <c r="J5" s="140" t="s">
        <v>142</v>
      </c>
      <c r="K5" s="140" t="s">
        <v>688</v>
      </c>
      <c r="L5" s="140" t="s">
        <v>688</v>
      </c>
      <c r="M5" s="140" t="s">
        <v>688</v>
      </c>
      <c r="N5" s="140" t="s">
        <v>688</v>
      </c>
      <c r="O5" s="140" t="s">
        <v>142</v>
      </c>
      <c r="P5" s="140" t="s">
        <v>142</v>
      </c>
      <c r="Q5" s="140" t="s">
        <v>142</v>
      </c>
      <c r="R5" s="140" t="s">
        <v>142</v>
      </c>
      <c r="S5" s="141" t="s">
        <v>688</v>
      </c>
      <c r="T5" s="142" t="str">
        <f>INPUT!C32</f>
        <v>Natural Ventilation</v>
      </c>
      <c r="U5" s="164"/>
      <c r="V5" s="11" t="s">
        <v>699</v>
      </c>
      <c r="W5" s="164">
        <f>IF(D5="Natural Ventilation",'C&amp;B'!$E$233,'C&amp;B'!$E$237+'C&amp;B'!$E$242)</f>
        <v>480</v>
      </c>
      <c r="X5" s="164">
        <f>IF(E5="Natural Ventilation",'C&amp;B'!$E$233,'C&amp;B'!$E$237+'C&amp;B'!$E$242)</f>
        <v>480</v>
      </c>
      <c r="Y5" s="164">
        <f>IF(F5="Natural Ventilation",'C&amp;B'!$E$233,'C&amp;B'!$E$237+'C&amp;B'!$E$242)</f>
        <v>480</v>
      </c>
      <c r="Z5" s="164">
        <f>IF(G5="Natural Ventilation",'C&amp;B'!$E$233,'C&amp;B'!$E$237+'C&amp;B'!$E$242)</f>
        <v>480</v>
      </c>
      <c r="AA5" s="164">
        <f>IF(H5="Natural Ventilation",'C&amp;B'!$E$233,'C&amp;B'!$E$237+'C&amp;B'!$E$242)</f>
        <v>480</v>
      </c>
      <c r="AB5" s="164">
        <f>IF(I5="Natural Ventilation",'C&amp;B'!$E$233,'C&amp;B'!$E$237+'C&amp;B'!$E$242)</f>
        <v>1835</v>
      </c>
      <c r="AC5" s="164">
        <f>IF(J5="Natural Ventilation",'C&amp;B'!$E$233,'C&amp;B'!$E$237+'C&amp;B'!$E$242)</f>
        <v>1835</v>
      </c>
      <c r="AD5" s="164">
        <f>IF(K5="Natural Ventilation",'C&amp;B'!$E$233,'C&amp;B'!$E$237+'C&amp;B'!$E$242)</f>
        <v>480</v>
      </c>
      <c r="AE5" s="164">
        <f>IF(L5="Natural Ventilation",'C&amp;B'!$E$233,'C&amp;B'!$E$237+'C&amp;B'!$E$242)</f>
        <v>480</v>
      </c>
      <c r="AF5" s="164">
        <f>IF(M5="Natural Ventilation",'C&amp;B'!$E$233,'C&amp;B'!$E$237+'C&amp;B'!$E$242)</f>
        <v>480</v>
      </c>
      <c r="AG5" s="164">
        <f>IF(N5="Natural Ventilation",'C&amp;B'!$E$233,'C&amp;B'!$E$237+'C&amp;B'!$E$242)</f>
        <v>480</v>
      </c>
      <c r="AH5" s="164">
        <f>IF(O5="Natural Ventilation",'C&amp;B'!$E$233,'C&amp;B'!$E$237+'C&amp;B'!$E$242)</f>
        <v>1835</v>
      </c>
      <c r="AI5" s="164">
        <f>IF(P5="Natural Ventilation",'C&amp;B'!$E$233,'C&amp;B'!$E$237+'C&amp;B'!$E$242)</f>
        <v>1835</v>
      </c>
      <c r="AJ5" s="164">
        <f>IF(Q5="Natural Ventilation",'C&amp;B'!$E$233,'C&amp;B'!$E$237+'C&amp;B'!$E$242)</f>
        <v>1835</v>
      </c>
      <c r="AK5" s="164">
        <f>IF(R5="Natural Ventilation",'C&amp;B'!$E$233,'C&amp;B'!$E$237+'C&amp;B'!$E$242)</f>
        <v>1835</v>
      </c>
      <c r="AL5" s="164">
        <f>IF(S5="Natural Ventilation",'C&amp;B'!$E$233,'C&amp;B'!$E$237+'C&amp;B'!$E$242)</f>
        <v>480</v>
      </c>
      <c r="AM5" s="164">
        <f>IF(T5="Natural Ventilation",'C&amp;B'!$E$233,'C&amp;B'!$E$237+'C&amp;B'!$E$242)</f>
        <v>480</v>
      </c>
      <c r="AO5" s="164">
        <v>1</v>
      </c>
      <c r="AP5" s="14">
        <f t="shared" si="0"/>
        <v>480</v>
      </c>
      <c r="AQ5" s="14">
        <f t="shared" si="0"/>
        <v>480</v>
      </c>
      <c r="AR5" s="14">
        <f t="shared" si="0"/>
        <v>480</v>
      </c>
      <c r="AS5" s="14">
        <f t="shared" si="0"/>
        <v>480</v>
      </c>
      <c r="AT5" s="14">
        <f t="shared" si="0"/>
        <v>480</v>
      </c>
      <c r="AU5" s="14">
        <f t="shared" si="0"/>
        <v>1835</v>
      </c>
      <c r="AV5" s="14">
        <f t="shared" si="0"/>
        <v>1835</v>
      </c>
      <c r="AW5" s="14">
        <f t="shared" si="0"/>
        <v>480</v>
      </c>
      <c r="AX5" s="14">
        <f t="shared" si="0"/>
        <v>480</v>
      </c>
      <c r="AY5" s="14">
        <f t="shared" si="0"/>
        <v>480</v>
      </c>
      <c r="AZ5" s="14">
        <f t="shared" si="1"/>
        <v>480</v>
      </c>
      <c r="BA5" s="14">
        <f t="shared" si="1"/>
        <v>1835</v>
      </c>
      <c r="BB5" s="14">
        <f t="shared" si="1"/>
        <v>1835</v>
      </c>
      <c r="BC5" s="14">
        <f t="shared" si="1"/>
        <v>1835</v>
      </c>
      <c r="BD5" s="14">
        <f t="shared" si="1"/>
        <v>1835</v>
      </c>
      <c r="BE5" s="14">
        <f t="shared" si="1"/>
        <v>480</v>
      </c>
      <c r="BF5" s="14">
        <f t="shared" si="1"/>
        <v>480</v>
      </c>
    </row>
    <row r="6" spans="2:58">
      <c r="B6" s="59" t="s">
        <v>337</v>
      </c>
      <c r="C6" s="129" t="s">
        <v>339</v>
      </c>
      <c r="D6" s="52">
        <v>0.18</v>
      </c>
      <c r="E6" s="53">
        <f>'C&amp;B'!D76</f>
        <v>0.18</v>
      </c>
      <c r="F6" s="53">
        <f>E6</f>
        <v>0.18</v>
      </c>
      <c r="G6" s="54">
        <f>$O6</f>
        <v>0.18</v>
      </c>
      <c r="H6" s="54">
        <f t="shared" ref="H6:L6" si="2">$O6</f>
        <v>0.18</v>
      </c>
      <c r="I6" s="54">
        <f t="shared" si="2"/>
        <v>0.18</v>
      </c>
      <c r="J6" s="54">
        <f t="shared" si="2"/>
        <v>0.18</v>
      </c>
      <c r="K6" s="54">
        <f t="shared" si="2"/>
        <v>0.18</v>
      </c>
      <c r="L6" s="54">
        <f t="shared" si="2"/>
        <v>0.18</v>
      </c>
      <c r="M6" s="53">
        <f>'C&amp;B'!G76</f>
        <v>0.13</v>
      </c>
      <c r="N6" s="53">
        <f>M6</f>
        <v>0.13</v>
      </c>
      <c r="O6" s="53">
        <f>'C&amp;B'!H64</f>
        <v>0.18</v>
      </c>
      <c r="P6" s="53">
        <f>O6</f>
        <v>0.18</v>
      </c>
      <c r="Q6" s="53">
        <f>'C&amp;B'!I64</f>
        <v>0.18</v>
      </c>
      <c r="R6" s="53">
        <f>Q6</f>
        <v>0.18</v>
      </c>
      <c r="S6" s="52">
        <v>0.15</v>
      </c>
      <c r="T6" s="134">
        <f>INPUT!C25</f>
        <v>0.18</v>
      </c>
      <c r="U6" s="50"/>
      <c r="V6" s="138" t="s">
        <v>694</v>
      </c>
      <c r="W6" s="50">
        <f>IF(ISNUMBER(D6),VLOOKUP(D6,'C&amp;B'!$C$178:$E$186,3,FALSE),0)</f>
        <v>221</v>
      </c>
      <c r="X6" s="50">
        <f>IF(ISNUMBER(E6),VLOOKUP(E6,'C&amp;B'!$C$178:$E$186,3,FALSE),0)</f>
        <v>221</v>
      </c>
      <c r="Y6" s="50">
        <f>IF(ISNUMBER(F6),VLOOKUP(F6,'C&amp;B'!$C$178:$E$186,3,FALSE),0)</f>
        <v>221</v>
      </c>
      <c r="Z6" s="50">
        <f>IF(ISNUMBER(G6),VLOOKUP(G6,'C&amp;B'!$C$178:$E$186,3,FALSE),0)</f>
        <v>221</v>
      </c>
      <c r="AA6" s="50">
        <f>IF(ISNUMBER(H6),VLOOKUP(H6,'C&amp;B'!$C$178:$E$186,3,FALSE),0)</f>
        <v>221</v>
      </c>
      <c r="AB6" s="50">
        <f>IF(ISNUMBER(I6),VLOOKUP(I6,'C&amp;B'!$C$178:$E$186,3,FALSE),0)</f>
        <v>221</v>
      </c>
      <c r="AC6" s="50">
        <f>IF(ISNUMBER(J6),VLOOKUP(J6,'C&amp;B'!$C$178:$E$186,3,FALSE),0)</f>
        <v>221</v>
      </c>
      <c r="AD6" s="50">
        <f>IF(ISNUMBER(K6),VLOOKUP(K6,'C&amp;B'!$C$178:$E$186,3,FALSE),0)</f>
        <v>221</v>
      </c>
      <c r="AE6" s="50">
        <f>IF(ISNUMBER(L6),VLOOKUP(L6,'C&amp;B'!$C$178:$E$186,3,FALSE),0)</f>
        <v>221</v>
      </c>
      <c r="AF6" s="50">
        <f>IF(ISNUMBER(M6),VLOOKUP(M6,'C&amp;B'!$C$178:$E$186,3,FALSE),0)</f>
        <v>230</v>
      </c>
      <c r="AG6" s="50">
        <f>IF(ISNUMBER(N6),VLOOKUP(N6,'C&amp;B'!$C$178:$E$186,3,FALSE),0)</f>
        <v>230</v>
      </c>
      <c r="AH6" s="50">
        <f>IF(ISNUMBER(O6),VLOOKUP(O6,'C&amp;B'!$C$178:$E$186,3,FALSE),0)</f>
        <v>221</v>
      </c>
      <c r="AI6" s="50">
        <f>IF(ISNUMBER(P6),VLOOKUP(P6,'C&amp;B'!$C$178:$E$186,3,FALSE),0)</f>
        <v>221</v>
      </c>
      <c r="AJ6" s="50">
        <f>IF(ISNUMBER(Q6),VLOOKUP(Q6,'C&amp;B'!$C$178:$E$186,3,FALSE),0)</f>
        <v>221</v>
      </c>
      <c r="AK6" s="50">
        <f>IF(ISNUMBER(R6),VLOOKUP(R6,'C&amp;B'!$C$178:$E$186,3,FALSE),0)</f>
        <v>221</v>
      </c>
      <c r="AL6" s="50">
        <f>IF(ISNUMBER(S6),VLOOKUP(S6,'C&amp;B'!$C$178:$E$186,3,FALSE),0)</f>
        <v>224</v>
      </c>
      <c r="AM6" s="50">
        <f>IF(ISNUMBER(T6),VLOOKUP(T6,'C&amp;B'!$C$178:$E$186,3,FALSE),0)</f>
        <v>221</v>
      </c>
      <c r="AO6" s="164">
        <f>'C&amp;B'!E8</f>
        <v>18</v>
      </c>
      <c r="AP6" s="14">
        <f>$AO6*W6</f>
        <v>3978</v>
      </c>
      <c r="AQ6" s="14">
        <f t="shared" si="0"/>
        <v>3978</v>
      </c>
      <c r="AR6" s="14">
        <f t="shared" si="0"/>
        <v>3978</v>
      </c>
      <c r="AS6" s="14">
        <f t="shared" si="0"/>
        <v>3978</v>
      </c>
      <c r="AT6" s="14">
        <f t="shared" si="0"/>
        <v>3978</v>
      </c>
      <c r="AU6" s="14">
        <f t="shared" si="0"/>
        <v>3978</v>
      </c>
      <c r="AV6" s="14">
        <f t="shared" si="0"/>
        <v>3978</v>
      </c>
      <c r="AW6" s="14">
        <f t="shared" si="0"/>
        <v>3978</v>
      </c>
      <c r="AX6" s="14">
        <f t="shared" si="0"/>
        <v>3978</v>
      </c>
      <c r="AY6" s="14">
        <f t="shared" si="0"/>
        <v>4140</v>
      </c>
      <c r="AZ6" s="14">
        <f t="shared" si="0"/>
        <v>4140</v>
      </c>
      <c r="BA6" s="14">
        <f t="shared" si="0"/>
        <v>3978</v>
      </c>
      <c r="BB6" s="14">
        <f t="shared" si="0"/>
        <v>3978</v>
      </c>
      <c r="BC6" s="14">
        <f t="shared" si="0"/>
        <v>3978</v>
      </c>
      <c r="BD6" s="14">
        <f t="shared" si="0"/>
        <v>3978</v>
      </c>
      <c r="BE6" s="14">
        <f t="shared" si="0"/>
        <v>4032</v>
      </c>
      <c r="BF6" s="14">
        <f t="shared" si="1"/>
        <v>3978</v>
      </c>
    </row>
    <row r="7" spans="2:58">
      <c r="B7" s="59" t="s">
        <v>338</v>
      </c>
      <c r="C7" s="129" t="s">
        <v>339</v>
      </c>
      <c r="D7" s="52">
        <f>G7</f>
        <v>0.21</v>
      </c>
      <c r="E7" s="53">
        <f>'C&amp;B'!D77</f>
        <v>0.13</v>
      </c>
      <c r="F7" s="53">
        <f t="shared" ref="F7:F15" si="3">E7</f>
        <v>0.13</v>
      </c>
      <c r="G7" s="54">
        <f t="shared" ref="G7:L15" si="4">$O7</f>
        <v>0.21</v>
      </c>
      <c r="H7" s="54">
        <f t="shared" si="4"/>
        <v>0.21</v>
      </c>
      <c r="I7" s="54">
        <f t="shared" si="4"/>
        <v>0.21</v>
      </c>
      <c r="J7" s="54">
        <f t="shared" si="4"/>
        <v>0.21</v>
      </c>
      <c r="K7" s="54">
        <f t="shared" si="4"/>
        <v>0.21</v>
      </c>
      <c r="L7" s="54">
        <f t="shared" si="4"/>
        <v>0.21</v>
      </c>
      <c r="M7" s="53">
        <f>'C&amp;B'!G77</f>
        <v>0.21</v>
      </c>
      <c r="N7" s="53">
        <f t="shared" ref="N7:N15" si="5">M7</f>
        <v>0.21</v>
      </c>
      <c r="O7" s="53">
        <f>'C&amp;B'!H77</f>
        <v>0.21</v>
      </c>
      <c r="P7" s="53">
        <f t="shared" ref="P7:R15" si="6">O7</f>
        <v>0.21</v>
      </c>
      <c r="Q7" s="53">
        <f>'C&amp;B'!I77</f>
        <v>0.18</v>
      </c>
      <c r="R7" s="53">
        <f t="shared" si="6"/>
        <v>0.18</v>
      </c>
      <c r="S7" s="52">
        <f>Q7</f>
        <v>0.18</v>
      </c>
      <c r="T7" s="134">
        <f>INPUT!C26</f>
        <v>0.21</v>
      </c>
      <c r="U7" s="50"/>
      <c r="V7" s="138" t="s">
        <v>694</v>
      </c>
      <c r="W7" s="50">
        <f>IF(ISNUMBER(D7),VLOOKUP(D7,'C&amp;B'!$C$188:$E$194,3,FALSE),0)</f>
        <v>146</v>
      </c>
      <c r="X7" s="50">
        <f>IF(ISNUMBER(E7),VLOOKUP(E7,'C&amp;B'!$C$188:$E$194,3,FALSE),0)</f>
        <v>157</v>
      </c>
      <c r="Y7" s="50">
        <f>IF(ISNUMBER(F7),VLOOKUP(F7,'C&amp;B'!$C$188:$E$194,3,FALSE),0)</f>
        <v>157</v>
      </c>
      <c r="Z7" s="50">
        <f>IF(ISNUMBER(G7),VLOOKUP(G7,'C&amp;B'!$C$188:$E$194,3,FALSE),0)</f>
        <v>146</v>
      </c>
      <c r="AA7" s="50">
        <f>IF(ISNUMBER(H7),VLOOKUP(H7,'C&amp;B'!$C$188:$E$194,3,FALSE),0)</f>
        <v>146</v>
      </c>
      <c r="AB7" s="50">
        <f>IF(ISNUMBER(I7),VLOOKUP(I7,'C&amp;B'!$C$188:$E$194,3,FALSE),0)</f>
        <v>146</v>
      </c>
      <c r="AC7" s="50">
        <f>IF(ISNUMBER(J7),VLOOKUP(J7,'C&amp;B'!$C$188:$E$194,3,FALSE),0)</f>
        <v>146</v>
      </c>
      <c r="AD7" s="50">
        <f>IF(ISNUMBER(K7),VLOOKUP(K7,'C&amp;B'!$C$188:$E$194,3,FALSE),0)</f>
        <v>146</v>
      </c>
      <c r="AE7" s="50">
        <f>IF(ISNUMBER(L7),VLOOKUP(L7,'C&amp;B'!$C$188:$E$194,3,FALSE),0)</f>
        <v>146</v>
      </c>
      <c r="AF7" s="50">
        <f>IF(ISNUMBER(M7),VLOOKUP(M7,'C&amp;B'!$C$188:$E$194,3,FALSE),0)</f>
        <v>146</v>
      </c>
      <c r="AG7" s="50">
        <f>IF(ISNUMBER(N7),VLOOKUP(N7,'C&amp;B'!$C$188:$E$194,3,FALSE),0)</f>
        <v>146</v>
      </c>
      <c r="AH7" s="50">
        <f>IF(ISNUMBER(O7),VLOOKUP(O7,'C&amp;B'!$C$188:$E$194,3,FALSE),0)</f>
        <v>146</v>
      </c>
      <c r="AI7" s="50">
        <f>IF(ISNUMBER(P7),VLOOKUP(P7,'C&amp;B'!$C$188:$E$194,3,FALSE),0)</f>
        <v>146</v>
      </c>
      <c r="AJ7" s="50">
        <f>IF(ISNUMBER(Q7),VLOOKUP(Q7,'C&amp;B'!$C$188:$E$194,3,FALSE),0)</f>
        <v>148</v>
      </c>
      <c r="AK7" s="50">
        <f>IF(ISNUMBER(R7),VLOOKUP(R7,'C&amp;B'!$C$188:$E$194,3,FALSE),0)</f>
        <v>148</v>
      </c>
      <c r="AL7" s="50">
        <f>IF(ISNUMBER(S7),VLOOKUP(S7,'C&amp;B'!$C$188:$E$194,3,FALSE),0)</f>
        <v>148</v>
      </c>
      <c r="AM7" s="50">
        <f>IF(ISNUMBER(T7),VLOOKUP(T7,'C&amp;B'!$C$188:$E$194,3,FALSE),0)</f>
        <v>146</v>
      </c>
      <c r="AO7" s="164">
        <f>'C&amp;B'!E9</f>
        <v>24</v>
      </c>
      <c r="AP7" s="14">
        <f t="shared" ref="AP7:BE26" si="7">$AO7*W7</f>
        <v>3504</v>
      </c>
      <c r="AQ7" s="14">
        <f t="shared" si="1"/>
        <v>3768</v>
      </c>
      <c r="AR7" s="14">
        <f t="shared" si="1"/>
        <v>3768</v>
      </c>
      <c r="AS7" s="14">
        <f t="shared" si="1"/>
        <v>3504</v>
      </c>
      <c r="AT7" s="14">
        <f t="shared" si="1"/>
        <v>3504</v>
      </c>
      <c r="AU7" s="14">
        <f t="shared" si="1"/>
        <v>3504</v>
      </c>
      <c r="AV7" s="14">
        <f t="shared" si="1"/>
        <v>3504</v>
      </c>
      <c r="AW7" s="14">
        <f t="shared" si="1"/>
        <v>3504</v>
      </c>
      <c r="AX7" s="14">
        <f t="shared" si="1"/>
        <v>3504</v>
      </c>
      <c r="AY7" s="14">
        <f t="shared" si="1"/>
        <v>3504</v>
      </c>
      <c r="AZ7" s="14">
        <f t="shared" si="1"/>
        <v>3504</v>
      </c>
      <c r="BA7" s="14">
        <f t="shared" si="1"/>
        <v>3504</v>
      </c>
      <c r="BB7" s="14">
        <f t="shared" si="1"/>
        <v>3504</v>
      </c>
      <c r="BC7" s="14">
        <f t="shared" si="1"/>
        <v>3552</v>
      </c>
      <c r="BD7" s="14">
        <f t="shared" si="1"/>
        <v>3552</v>
      </c>
      <c r="BE7" s="14">
        <f t="shared" si="1"/>
        <v>3552</v>
      </c>
      <c r="BF7" s="14">
        <f t="shared" si="1"/>
        <v>3504</v>
      </c>
    </row>
    <row r="8" spans="2:58">
      <c r="B8" s="59" t="s">
        <v>131</v>
      </c>
      <c r="C8" s="129" t="s">
        <v>339</v>
      </c>
      <c r="D8" s="52">
        <v>0.13</v>
      </c>
      <c r="E8" s="53">
        <f>'C&amp;B'!D78</f>
        <v>0.13</v>
      </c>
      <c r="F8" s="53">
        <f t="shared" si="3"/>
        <v>0.13</v>
      </c>
      <c r="G8" s="54">
        <f t="shared" si="4"/>
        <v>0.15</v>
      </c>
      <c r="H8" s="54">
        <f t="shared" si="4"/>
        <v>0.15</v>
      </c>
      <c r="I8" s="54">
        <f t="shared" si="4"/>
        <v>0.15</v>
      </c>
      <c r="J8" s="54">
        <f t="shared" si="4"/>
        <v>0.15</v>
      </c>
      <c r="K8" s="54">
        <f t="shared" si="4"/>
        <v>0.15</v>
      </c>
      <c r="L8" s="54">
        <f t="shared" si="4"/>
        <v>0.15</v>
      </c>
      <c r="M8" s="53">
        <f>'C&amp;B'!G78</f>
        <v>0.11</v>
      </c>
      <c r="N8" s="53">
        <f t="shared" si="5"/>
        <v>0.11</v>
      </c>
      <c r="O8" s="53">
        <f>'C&amp;B'!H78</f>
        <v>0.15</v>
      </c>
      <c r="P8" s="53">
        <f t="shared" si="6"/>
        <v>0.15</v>
      </c>
      <c r="Q8" s="53">
        <f>'C&amp;B'!I78</f>
        <v>0.11</v>
      </c>
      <c r="R8" s="53">
        <f t="shared" si="6"/>
        <v>0.11</v>
      </c>
      <c r="S8" s="52">
        <v>0.11</v>
      </c>
      <c r="T8" s="134">
        <f>INPUT!C27</f>
        <v>0.13</v>
      </c>
      <c r="U8" s="50"/>
      <c r="V8" s="138" t="s">
        <v>694</v>
      </c>
      <c r="W8" s="50">
        <f>IF(ISNUMBER(D8),VLOOKUP(D8,'C&amp;B'!$C$196:$E$202,3,FALSE),0)</f>
        <v>152</v>
      </c>
      <c r="X8" s="50">
        <f>IF(ISNUMBER(E8),VLOOKUP(E8,'C&amp;B'!$C$196:$E$202,3,FALSE),0)</f>
        <v>152</v>
      </c>
      <c r="Y8" s="50">
        <f>IF(ISNUMBER(F8),VLOOKUP(F8,'C&amp;B'!$C$196:$E$202,3,FALSE),0)</f>
        <v>152</v>
      </c>
      <c r="Z8" s="50">
        <f>IF(ISNUMBER(G8),VLOOKUP(G8,'C&amp;B'!$C$196:$E$202,3,FALSE),0)</f>
        <v>146</v>
      </c>
      <c r="AA8" s="50">
        <f>IF(ISNUMBER(H8),VLOOKUP(H8,'C&amp;B'!$C$196:$E$202,3,FALSE),0)</f>
        <v>146</v>
      </c>
      <c r="AB8" s="50">
        <f>IF(ISNUMBER(I8),VLOOKUP(I8,'C&amp;B'!$C$196:$E$202,3,FALSE),0)</f>
        <v>146</v>
      </c>
      <c r="AC8" s="50">
        <f>IF(ISNUMBER(J8),VLOOKUP(J8,'C&amp;B'!$C$196:$E$202,3,FALSE),0)</f>
        <v>146</v>
      </c>
      <c r="AD8" s="50">
        <f>IF(ISNUMBER(K8),VLOOKUP(K8,'C&amp;B'!$C$196:$E$202,3,FALSE),0)</f>
        <v>146</v>
      </c>
      <c r="AE8" s="50">
        <f>IF(ISNUMBER(L8),VLOOKUP(L8,'C&amp;B'!$C$196:$E$202,3,FALSE),0)</f>
        <v>146</v>
      </c>
      <c r="AF8" s="50">
        <f>IF(ISNUMBER(M8),VLOOKUP(M8,'C&amp;B'!$C$196:$E$202,3,FALSE),0)</f>
        <v>157</v>
      </c>
      <c r="AG8" s="50">
        <f>IF(ISNUMBER(N8),VLOOKUP(N8,'C&amp;B'!$C$196:$E$202,3,FALSE),0)</f>
        <v>157</v>
      </c>
      <c r="AH8" s="50">
        <f>IF(ISNUMBER(O8),VLOOKUP(O8,'C&amp;B'!$C$196:$E$202,3,FALSE),0)</f>
        <v>146</v>
      </c>
      <c r="AI8" s="50">
        <f>IF(ISNUMBER(P8),VLOOKUP(P8,'C&amp;B'!$C$196:$E$202,3,FALSE),0)</f>
        <v>146</v>
      </c>
      <c r="AJ8" s="50">
        <f>IF(ISNUMBER(Q8),VLOOKUP(Q8,'C&amp;B'!$C$196:$E$202,3,FALSE),0)</f>
        <v>157</v>
      </c>
      <c r="AK8" s="50">
        <f>IF(ISNUMBER(R8),VLOOKUP(R8,'C&amp;B'!$C$196:$E$202,3,FALSE),0)</f>
        <v>157</v>
      </c>
      <c r="AL8" s="50">
        <f>IF(ISNUMBER(S8),VLOOKUP(S8,'C&amp;B'!$C$196:$E$202,3,FALSE),0)</f>
        <v>157</v>
      </c>
      <c r="AM8" s="50">
        <f>IF(ISNUMBER(T8),VLOOKUP(T8,'C&amp;B'!$C$196:$E$202,3,FALSE),0)</f>
        <v>152</v>
      </c>
      <c r="AO8" s="6">
        <f>'C&amp;B'!E12/'C&amp;B'!E18</f>
        <v>25</v>
      </c>
      <c r="AP8" s="14">
        <f t="shared" si="7"/>
        <v>3800</v>
      </c>
      <c r="AQ8" s="14">
        <f t="shared" si="1"/>
        <v>3800</v>
      </c>
      <c r="AR8" s="14">
        <f t="shared" si="1"/>
        <v>3800</v>
      </c>
      <c r="AS8" s="14">
        <f t="shared" si="1"/>
        <v>3650</v>
      </c>
      <c r="AT8" s="14">
        <f t="shared" si="1"/>
        <v>3650</v>
      </c>
      <c r="AU8" s="14">
        <f t="shared" si="1"/>
        <v>3650</v>
      </c>
      <c r="AV8" s="14">
        <f t="shared" si="1"/>
        <v>3650</v>
      </c>
      <c r="AW8" s="14">
        <f t="shared" si="1"/>
        <v>3650</v>
      </c>
      <c r="AX8" s="14">
        <f t="shared" si="1"/>
        <v>3650</v>
      </c>
      <c r="AY8" s="14">
        <f t="shared" si="1"/>
        <v>3925</v>
      </c>
      <c r="AZ8" s="14">
        <f t="shared" si="1"/>
        <v>3925</v>
      </c>
      <c r="BA8" s="14">
        <f t="shared" si="1"/>
        <v>3650</v>
      </c>
      <c r="BB8" s="14">
        <f t="shared" si="1"/>
        <v>3650</v>
      </c>
      <c r="BC8" s="14">
        <f t="shared" si="1"/>
        <v>3925</v>
      </c>
      <c r="BD8" s="14">
        <f t="shared" si="1"/>
        <v>3925</v>
      </c>
      <c r="BE8" s="14">
        <f t="shared" si="1"/>
        <v>3925</v>
      </c>
      <c r="BF8" s="14">
        <f t="shared" si="1"/>
        <v>3800</v>
      </c>
    </row>
    <row r="9" spans="2:58">
      <c r="B9" s="59" t="s">
        <v>341</v>
      </c>
      <c r="C9" s="129" t="s">
        <v>339</v>
      </c>
      <c r="D9" s="52">
        <v>0.11</v>
      </c>
      <c r="E9" s="53">
        <f>'C&amp;B'!D79</f>
        <v>0.13</v>
      </c>
      <c r="F9" s="53">
        <f t="shared" si="3"/>
        <v>0.13</v>
      </c>
      <c r="G9" s="54">
        <f t="shared" si="4"/>
        <v>0.11</v>
      </c>
      <c r="H9" s="54">
        <f t="shared" si="4"/>
        <v>0.11</v>
      </c>
      <c r="I9" s="54">
        <f t="shared" si="4"/>
        <v>0.11</v>
      </c>
      <c r="J9" s="54">
        <f t="shared" si="4"/>
        <v>0.11</v>
      </c>
      <c r="K9" s="54">
        <f t="shared" si="4"/>
        <v>0.11</v>
      </c>
      <c r="L9" s="54">
        <f t="shared" si="4"/>
        <v>0.11</v>
      </c>
      <c r="M9" s="53">
        <f>'C&amp;B'!G79</f>
        <v>0.11</v>
      </c>
      <c r="N9" s="53">
        <f t="shared" si="5"/>
        <v>0.11</v>
      </c>
      <c r="O9" s="53">
        <f>'C&amp;B'!H79</f>
        <v>0.11</v>
      </c>
      <c r="P9" s="53">
        <f t="shared" si="6"/>
        <v>0.11</v>
      </c>
      <c r="Q9" s="53">
        <f>'C&amp;B'!I79</f>
        <v>0.11</v>
      </c>
      <c r="R9" s="53">
        <f t="shared" si="6"/>
        <v>0.11</v>
      </c>
      <c r="S9" s="52">
        <v>0.11</v>
      </c>
      <c r="T9" s="134">
        <f>INPUT!C28</f>
        <v>0.13</v>
      </c>
      <c r="U9" s="50"/>
      <c r="V9" s="138" t="s">
        <v>694</v>
      </c>
      <c r="W9" s="50">
        <f>IF(ISNUMBER(D9),VLOOKUP(D9,'C&amp;B'!$C$204:$E$210,3,FALSE),0)</f>
        <v>187</v>
      </c>
      <c r="X9" s="50">
        <f>IF(ISNUMBER(E9),VLOOKUP(E9,'C&amp;B'!$C$204:$E$210,3,FALSE),0)</f>
        <v>185</v>
      </c>
      <c r="Y9" s="50">
        <f>IF(ISNUMBER(F9),VLOOKUP(F9,'C&amp;B'!$C$204:$E$210,3,FALSE),0)</f>
        <v>185</v>
      </c>
      <c r="Z9" s="50">
        <f>IF(ISNUMBER(G9),VLOOKUP(G9,'C&amp;B'!$C$204:$E$210,3,FALSE),0)</f>
        <v>187</v>
      </c>
      <c r="AA9" s="50">
        <f>IF(ISNUMBER(H9),VLOOKUP(H9,'C&amp;B'!$C$204:$E$210,3,FALSE),0)</f>
        <v>187</v>
      </c>
      <c r="AB9" s="50">
        <f>IF(ISNUMBER(I9),VLOOKUP(I9,'C&amp;B'!$C$204:$E$210,3,FALSE),0)</f>
        <v>187</v>
      </c>
      <c r="AC9" s="50">
        <f>IF(ISNUMBER(J9),VLOOKUP(J9,'C&amp;B'!$C$204:$E$210,3,FALSE),0)</f>
        <v>187</v>
      </c>
      <c r="AD9" s="50">
        <f>IF(ISNUMBER(K9),VLOOKUP(K9,'C&amp;B'!$C$204:$E$210,3,FALSE),0)</f>
        <v>187</v>
      </c>
      <c r="AE9" s="50">
        <f>IF(ISNUMBER(L9),VLOOKUP(L9,'C&amp;B'!$C$204:$E$210,3,FALSE),0)</f>
        <v>187</v>
      </c>
      <c r="AF9" s="50">
        <f>IF(ISNUMBER(M9),VLOOKUP(M9,'C&amp;B'!$C$204:$E$210,3,FALSE),0)</f>
        <v>187</v>
      </c>
      <c r="AG9" s="50">
        <f>IF(ISNUMBER(N9),VLOOKUP(N9,'C&amp;B'!$C$204:$E$210,3,FALSE),0)</f>
        <v>187</v>
      </c>
      <c r="AH9" s="50">
        <f>IF(ISNUMBER(O9),VLOOKUP(O9,'C&amp;B'!$C$204:$E$210,3,FALSE),0)</f>
        <v>187</v>
      </c>
      <c r="AI9" s="50">
        <f>IF(ISNUMBER(P9),VLOOKUP(P9,'C&amp;B'!$C$204:$E$210,3,FALSE),0)</f>
        <v>187</v>
      </c>
      <c r="AJ9" s="50">
        <f>IF(ISNUMBER(Q9),VLOOKUP(Q9,'C&amp;B'!$C$204:$E$210,3,FALSE),0)</f>
        <v>187</v>
      </c>
      <c r="AK9" s="50">
        <f>IF(ISNUMBER(R9),VLOOKUP(R9,'C&amp;B'!$C$204:$E$210,3,FALSE),0)</f>
        <v>187</v>
      </c>
      <c r="AL9" s="50">
        <f>IF(ISNUMBER(S9),VLOOKUP(S9,'C&amp;B'!$C$204:$E$210,3,FALSE),0)</f>
        <v>187</v>
      </c>
      <c r="AM9" s="50">
        <f>IF(ISNUMBER(T9),VLOOKUP(T9,'C&amp;B'!$C$204:$E$210,3,FALSE),0)</f>
        <v>185</v>
      </c>
      <c r="AO9" s="6">
        <f>'C&amp;B'!G10/'C&amp;B'!E18</f>
        <v>25</v>
      </c>
      <c r="AP9" s="14">
        <f t="shared" si="7"/>
        <v>4675</v>
      </c>
      <c r="AQ9" s="14">
        <f t="shared" si="1"/>
        <v>4625</v>
      </c>
      <c r="AR9" s="14">
        <f t="shared" si="1"/>
        <v>4625</v>
      </c>
      <c r="AS9" s="14">
        <f t="shared" si="1"/>
        <v>4675</v>
      </c>
      <c r="AT9" s="14">
        <f t="shared" si="1"/>
        <v>4675</v>
      </c>
      <c r="AU9" s="14">
        <f t="shared" si="1"/>
        <v>4675</v>
      </c>
      <c r="AV9" s="14">
        <f t="shared" si="1"/>
        <v>4675</v>
      </c>
      <c r="AW9" s="14">
        <f t="shared" si="1"/>
        <v>4675</v>
      </c>
      <c r="AX9" s="14">
        <f t="shared" si="1"/>
        <v>4675</v>
      </c>
      <c r="AY9" s="14">
        <f t="shared" si="1"/>
        <v>4675</v>
      </c>
      <c r="AZ9" s="14">
        <f t="shared" si="1"/>
        <v>4675</v>
      </c>
      <c r="BA9" s="14">
        <f t="shared" si="1"/>
        <v>4675</v>
      </c>
      <c r="BB9" s="14">
        <f t="shared" si="1"/>
        <v>4675</v>
      </c>
      <c r="BC9" s="14">
        <f t="shared" si="1"/>
        <v>4675</v>
      </c>
      <c r="BD9" s="14">
        <f t="shared" si="1"/>
        <v>4675</v>
      </c>
      <c r="BE9" s="14">
        <f t="shared" si="1"/>
        <v>4675</v>
      </c>
      <c r="BF9" s="14">
        <f t="shared" si="1"/>
        <v>4625</v>
      </c>
    </row>
    <row r="10" spans="2:58">
      <c r="B10" s="59" t="s">
        <v>340</v>
      </c>
      <c r="C10" s="129" t="s">
        <v>339</v>
      </c>
      <c r="D10" s="52">
        <v>0.11</v>
      </c>
      <c r="E10" s="53">
        <f>E9</f>
        <v>0.13</v>
      </c>
      <c r="F10" s="53">
        <f t="shared" si="3"/>
        <v>0.13</v>
      </c>
      <c r="G10" s="54">
        <f t="shared" si="4"/>
        <v>0.11</v>
      </c>
      <c r="H10" s="54">
        <f t="shared" si="4"/>
        <v>0.11</v>
      </c>
      <c r="I10" s="54">
        <f t="shared" si="4"/>
        <v>0.11</v>
      </c>
      <c r="J10" s="54">
        <f t="shared" si="4"/>
        <v>0.11</v>
      </c>
      <c r="K10" s="54">
        <f t="shared" si="4"/>
        <v>0.11</v>
      </c>
      <c r="L10" s="54">
        <f t="shared" si="4"/>
        <v>0.11</v>
      </c>
      <c r="M10" s="53">
        <f>M9</f>
        <v>0.11</v>
      </c>
      <c r="N10" s="53">
        <f t="shared" si="5"/>
        <v>0.11</v>
      </c>
      <c r="O10" s="53">
        <f>O9</f>
        <v>0.11</v>
      </c>
      <c r="P10" s="53">
        <f t="shared" si="6"/>
        <v>0.11</v>
      </c>
      <c r="Q10" s="53">
        <f>Q9</f>
        <v>0.11</v>
      </c>
      <c r="R10" s="53">
        <f t="shared" si="6"/>
        <v>0.11</v>
      </c>
      <c r="S10" s="52">
        <v>0.11</v>
      </c>
      <c r="T10" s="134">
        <f>T9</f>
        <v>0.13</v>
      </c>
      <c r="U10" s="50"/>
      <c r="V10" s="138" t="s">
        <v>694</v>
      </c>
      <c r="W10" s="50">
        <f>W9</f>
        <v>187</v>
      </c>
      <c r="X10" s="50">
        <f t="shared" ref="X10:AM10" si="8">X9</f>
        <v>185</v>
      </c>
      <c r="Y10" s="50">
        <f t="shared" si="8"/>
        <v>185</v>
      </c>
      <c r="Z10" s="50">
        <f t="shared" si="8"/>
        <v>187</v>
      </c>
      <c r="AA10" s="50">
        <f t="shared" si="8"/>
        <v>187</v>
      </c>
      <c r="AB10" s="50">
        <f t="shared" si="8"/>
        <v>187</v>
      </c>
      <c r="AC10" s="50">
        <f t="shared" si="8"/>
        <v>187</v>
      </c>
      <c r="AD10" s="50">
        <f t="shared" si="8"/>
        <v>187</v>
      </c>
      <c r="AE10" s="50">
        <f t="shared" si="8"/>
        <v>187</v>
      </c>
      <c r="AF10" s="50">
        <f t="shared" si="8"/>
        <v>187</v>
      </c>
      <c r="AG10" s="50">
        <f t="shared" si="8"/>
        <v>187</v>
      </c>
      <c r="AH10" s="50">
        <f t="shared" si="8"/>
        <v>187</v>
      </c>
      <c r="AI10" s="50">
        <f t="shared" si="8"/>
        <v>187</v>
      </c>
      <c r="AJ10" s="50">
        <f t="shared" si="8"/>
        <v>187</v>
      </c>
      <c r="AK10" s="50">
        <f t="shared" si="8"/>
        <v>187</v>
      </c>
      <c r="AL10" s="50">
        <f t="shared" si="8"/>
        <v>187</v>
      </c>
      <c r="AM10" s="50">
        <f t="shared" si="8"/>
        <v>185</v>
      </c>
      <c r="AO10" s="164">
        <f>'C&amp;B'!G11</f>
        <v>0</v>
      </c>
      <c r="AP10" s="14">
        <f t="shared" si="7"/>
        <v>0</v>
      </c>
      <c r="AQ10" s="14">
        <f t="shared" si="1"/>
        <v>0</v>
      </c>
      <c r="AR10" s="14">
        <f t="shared" si="1"/>
        <v>0</v>
      </c>
      <c r="AS10" s="14">
        <f t="shared" si="1"/>
        <v>0</v>
      </c>
      <c r="AT10" s="14">
        <f t="shared" si="1"/>
        <v>0</v>
      </c>
      <c r="AU10" s="14">
        <f t="shared" si="1"/>
        <v>0</v>
      </c>
      <c r="AV10" s="14">
        <f t="shared" si="1"/>
        <v>0</v>
      </c>
      <c r="AW10" s="14">
        <f t="shared" si="1"/>
        <v>0</v>
      </c>
      <c r="AX10" s="14">
        <f t="shared" si="1"/>
        <v>0</v>
      </c>
      <c r="AY10" s="14">
        <f t="shared" si="1"/>
        <v>0</v>
      </c>
      <c r="AZ10" s="14">
        <f t="shared" si="1"/>
        <v>0</v>
      </c>
      <c r="BA10" s="14">
        <f t="shared" si="1"/>
        <v>0</v>
      </c>
      <c r="BB10" s="14">
        <f t="shared" si="1"/>
        <v>0</v>
      </c>
      <c r="BC10" s="14">
        <f t="shared" si="1"/>
        <v>0</v>
      </c>
      <c r="BD10" s="14">
        <f t="shared" si="1"/>
        <v>0</v>
      </c>
      <c r="BE10" s="14">
        <f t="shared" si="1"/>
        <v>0</v>
      </c>
      <c r="BF10" s="14">
        <f t="shared" si="1"/>
        <v>0</v>
      </c>
    </row>
    <row r="11" spans="2:58">
      <c r="B11" s="59" t="s">
        <v>136</v>
      </c>
      <c r="C11" s="129" t="s">
        <v>339</v>
      </c>
      <c r="D11" s="52">
        <v>1</v>
      </c>
      <c r="E11" s="53">
        <f>'C&amp;B'!D80</f>
        <v>1</v>
      </c>
      <c r="F11" s="53">
        <f t="shared" si="3"/>
        <v>1</v>
      </c>
      <c r="G11" s="54">
        <f t="shared" si="4"/>
        <v>1.4</v>
      </c>
      <c r="H11" s="54">
        <f t="shared" si="4"/>
        <v>1.4</v>
      </c>
      <c r="I11" s="54">
        <f t="shared" si="4"/>
        <v>1.4</v>
      </c>
      <c r="J11" s="54">
        <f t="shared" si="4"/>
        <v>1.4</v>
      </c>
      <c r="K11" s="54">
        <f t="shared" si="4"/>
        <v>1.4</v>
      </c>
      <c r="L11" s="54">
        <f t="shared" si="4"/>
        <v>1.4</v>
      </c>
      <c r="M11" s="53">
        <f>'C&amp;B'!G80</f>
        <v>1</v>
      </c>
      <c r="N11" s="53">
        <f t="shared" si="5"/>
        <v>1</v>
      </c>
      <c r="O11" s="53">
        <f>'C&amp;B'!H80</f>
        <v>1.4</v>
      </c>
      <c r="P11" s="53">
        <f t="shared" si="6"/>
        <v>1.4</v>
      </c>
      <c r="Q11" s="53">
        <f>'C&amp;B'!I80</f>
        <v>1.4</v>
      </c>
      <c r="R11" s="53">
        <f t="shared" si="6"/>
        <v>1.4</v>
      </c>
      <c r="S11" s="52">
        <v>1</v>
      </c>
      <c r="T11" s="134">
        <f>INPUT!C29</f>
        <v>1</v>
      </c>
      <c r="U11" s="50"/>
      <c r="V11" s="138" t="s">
        <v>694</v>
      </c>
      <c r="W11" s="50">
        <f>IF(ISNUMBER(D11),VLOOKUP(D11,'C&amp;B'!$C$212:$E$216,3,FALSE),0)</f>
        <v>330</v>
      </c>
      <c r="X11" s="50">
        <f>IF(ISNUMBER(E11),VLOOKUP(E11,'C&amp;B'!$C$212:$E$216,3,FALSE),0)</f>
        <v>330</v>
      </c>
      <c r="Y11" s="50">
        <f>IF(ISNUMBER(F11),VLOOKUP(F11,'C&amp;B'!$C$212:$E$216,3,FALSE),0)</f>
        <v>330</v>
      </c>
      <c r="Z11" s="50">
        <f>IF(ISNUMBER(G11),VLOOKUP(G11,'C&amp;B'!$C$212:$E$216,3,FALSE),0)</f>
        <v>240</v>
      </c>
      <c r="AA11" s="50">
        <f>IF(ISNUMBER(H11),VLOOKUP(H11,'C&amp;B'!$C$212:$E$216,3,FALSE),0)</f>
        <v>240</v>
      </c>
      <c r="AB11" s="50">
        <f>IF(ISNUMBER(I11),VLOOKUP(I11,'C&amp;B'!$C$212:$E$216,3,FALSE),0)</f>
        <v>240</v>
      </c>
      <c r="AC11" s="50">
        <f>IF(ISNUMBER(J11),VLOOKUP(J11,'C&amp;B'!$C$212:$E$216,3,FALSE),0)</f>
        <v>240</v>
      </c>
      <c r="AD11" s="50">
        <f>IF(ISNUMBER(K11),VLOOKUP(K11,'C&amp;B'!$C$212:$E$216,3,FALSE),0)</f>
        <v>240</v>
      </c>
      <c r="AE11" s="50">
        <f>IF(ISNUMBER(L11),VLOOKUP(L11,'C&amp;B'!$C$212:$E$216,3,FALSE),0)</f>
        <v>240</v>
      </c>
      <c r="AF11" s="50">
        <f>IF(ISNUMBER(M11),VLOOKUP(M11,'C&amp;B'!$C$212:$E$216,3,FALSE),0)</f>
        <v>330</v>
      </c>
      <c r="AG11" s="50">
        <f>IF(ISNUMBER(N11),VLOOKUP(N11,'C&amp;B'!$C$212:$E$216,3,FALSE),0)</f>
        <v>330</v>
      </c>
      <c r="AH11" s="50">
        <f>IF(ISNUMBER(O11),VLOOKUP(O11,'C&amp;B'!$C$212:$E$216,3,FALSE),0)</f>
        <v>240</v>
      </c>
      <c r="AI11" s="50">
        <f>IF(ISNUMBER(P11),VLOOKUP(P11,'C&amp;B'!$C$212:$E$216,3,FALSE),0)</f>
        <v>240</v>
      </c>
      <c r="AJ11" s="50">
        <f>IF(ISNUMBER(Q11),VLOOKUP(Q11,'C&amp;B'!$C$212:$E$216,3,FALSE),0)</f>
        <v>240</v>
      </c>
      <c r="AK11" s="50">
        <f>IF(ISNUMBER(R11),VLOOKUP(R11,'C&amp;B'!$C$212:$E$216,3,FALSE),0)</f>
        <v>240</v>
      </c>
      <c r="AL11" s="50">
        <f>IF(ISNUMBER(S11),VLOOKUP(S11,'C&amp;B'!$C$212:$E$216,3,FALSE),0)</f>
        <v>330</v>
      </c>
      <c r="AM11" s="50">
        <f>IF(ISNUMBER(T11),VLOOKUP(T11,'C&amp;B'!$C$212:$E$216,3,FALSE),0)</f>
        <v>330</v>
      </c>
      <c r="AO11" s="164">
        <f>'C&amp;B'!E15</f>
        <v>2.1</v>
      </c>
      <c r="AP11" s="14">
        <f t="shared" si="7"/>
        <v>693</v>
      </c>
      <c r="AQ11" s="14">
        <f t="shared" si="1"/>
        <v>693</v>
      </c>
      <c r="AR11" s="14">
        <f t="shared" si="1"/>
        <v>693</v>
      </c>
      <c r="AS11" s="14">
        <f t="shared" si="1"/>
        <v>504</v>
      </c>
      <c r="AT11" s="14">
        <f t="shared" si="1"/>
        <v>504</v>
      </c>
      <c r="AU11" s="14">
        <f t="shared" si="1"/>
        <v>504</v>
      </c>
      <c r="AV11" s="14">
        <f t="shared" si="1"/>
        <v>504</v>
      </c>
      <c r="AW11" s="14">
        <f t="shared" si="1"/>
        <v>504</v>
      </c>
      <c r="AX11" s="14">
        <f t="shared" si="1"/>
        <v>504</v>
      </c>
      <c r="AY11" s="14">
        <f t="shared" si="1"/>
        <v>693</v>
      </c>
      <c r="AZ11" s="14">
        <f t="shared" si="1"/>
        <v>693</v>
      </c>
      <c r="BA11" s="14">
        <f t="shared" si="1"/>
        <v>504</v>
      </c>
      <c r="BB11" s="14">
        <f t="shared" si="1"/>
        <v>504</v>
      </c>
      <c r="BC11" s="14">
        <f t="shared" si="1"/>
        <v>504</v>
      </c>
      <c r="BD11" s="14">
        <f t="shared" si="1"/>
        <v>504</v>
      </c>
      <c r="BE11" s="14">
        <f t="shared" si="1"/>
        <v>693</v>
      </c>
      <c r="BF11" s="14">
        <f t="shared" si="1"/>
        <v>693</v>
      </c>
    </row>
    <row r="12" spans="2:58">
      <c r="B12" s="59" t="s">
        <v>138</v>
      </c>
      <c r="C12" s="129" t="s">
        <v>339</v>
      </c>
      <c r="D12" s="52">
        <v>1.2</v>
      </c>
      <c r="E12" s="53">
        <f>'C&amp;B'!D81</f>
        <v>1.4</v>
      </c>
      <c r="F12" s="53">
        <f t="shared" si="3"/>
        <v>1.4</v>
      </c>
      <c r="G12" s="54">
        <f t="shared" si="4"/>
        <v>1.2</v>
      </c>
      <c r="H12" s="54">
        <f t="shared" si="4"/>
        <v>1.2</v>
      </c>
      <c r="I12" s="54">
        <f t="shared" si="4"/>
        <v>1.2</v>
      </c>
      <c r="J12" s="54">
        <f t="shared" si="4"/>
        <v>1.2</v>
      </c>
      <c r="K12" s="54">
        <f t="shared" si="4"/>
        <v>1.2</v>
      </c>
      <c r="L12" s="54">
        <f t="shared" si="4"/>
        <v>1.2</v>
      </c>
      <c r="M12" s="53">
        <f>'C&amp;B'!G81</f>
        <v>1.2</v>
      </c>
      <c r="N12" s="53">
        <f t="shared" si="5"/>
        <v>1.2</v>
      </c>
      <c r="O12" s="53">
        <f>'C&amp;B'!H81</f>
        <v>1.2</v>
      </c>
      <c r="P12" s="53">
        <f t="shared" si="6"/>
        <v>1.2</v>
      </c>
      <c r="Q12" s="53">
        <f>'C&amp;B'!I81</f>
        <v>1.2</v>
      </c>
      <c r="R12" s="53">
        <f t="shared" si="6"/>
        <v>1.2</v>
      </c>
      <c r="S12" s="52">
        <v>0.8</v>
      </c>
      <c r="T12" s="134">
        <f>INPUT!C30</f>
        <v>1.4</v>
      </c>
      <c r="U12" s="50"/>
      <c r="V12" s="138" t="s">
        <v>694</v>
      </c>
      <c r="W12" s="50">
        <f>IF(ISNUMBER(D12),VLOOKUP(D12,'C&amp;B'!$C$218:$E$222,3,FALSE),0)</f>
        <v>300</v>
      </c>
      <c r="X12" s="50">
        <f>IF(ISNUMBER(E12),VLOOKUP(E12,'C&amp;B'!$C$218:$E$222,3,FALSE),0)</f>
        <v>265</v>
      </c>
      <c r="Y12" s="50">
        <f>IF(ISNUMBER(F12),VLOOKUP(F12,'C&amp;B'!$C$218:$E$222,3,FALSE),0)</f>
        <v>265</v>
      </c>
      <c r="Z12" s="50">
        <f>IF(ISNUMBER(G12),VLOOKUP(G12,'C&amp;B'!$C$218:$E$222,3,FALSE),0)</f>
        <v>300</v>
      </c>
      <c r="AA12" s="50">
        <f>IF(ISNUMBER(H12),VLOOKUP(H12,'C&amp;B'!$C$218:$E$222,3,FALSE),0)</f>
        <v>300</v>
      </c>
      <c r="AB12" s="50">
        <f>IF(ISNUMBER(I12),VLOOKUP(I12,'C&amp;B'!$C$218:$E$222,3,FALSE),0)</f>
        <v>300</v>
      </c>
      <c r="AC12" s="50">
        <f>IF(ISNUMBER(J12),VLOOKUP(J12,'C&amp;B'!$C$218:$E$222,3,FALSE),0)</f>
        <v>300</v>
      </c>
      <c r="AD12" s="50">
        <f>IF(ISNUMBER(K12),VLOOKUP(K12,'C&amp;B'!$C$218:$E$222,3,FALSE),0)</f>
        <v>300</v>
      </c>
      <c r="AE12" s="50">
        <f>IF(ISNUMBER(L12),VLOOKUP(L12,'C&amp;B'!$C$218:$E$222,3,FALSE),0)</f>
        <v>300</v>
      </c>
      <c r="AF12" s="50">
        <f>IF(ISNUMBER(M12),VLOOKUP(M12,'C&amp;B'!$C$218:$E$222,3,FALSE),0)</f>
        <v>300</v>
      </c>
      <c r="AG12" s="50">
        <f>IF(ISNUMBER(N12),VLOOKUP(N12,'C&amp;B'!$C$218:$E$222,3,FALSE),0)</f>
        <v>300</v>
      </c>
      <c r="AH12" s="50">
        <f>IF(ISNUMBER(O12),VLOOKUP(O12,'C&amp;B'!$C$218:$E$222,3,FALSE),0)</f>
        <v>300</v>
      </c>
      <c r="AI12" s="50">
        <f>IF(ISNUMBER(P12),VLOOKUP(P12,'C&amp;B'!$C$218:$E$222,3,FALSE),0)</f>
        <v>300</v>
      </c>
      <c r="AJ12" s="50">
        <f>IF(ISNUMBER(Q12),VLOOKUP(Q12,'C&amp;B'!$C$218:$E$222,3,FALSE),0)</f>
        <v>300</v>
      </c>
      <c r="AK12" s="50">
        <f>IF(ISNUMBER(R12),VLOOKUP(R12,'C&amp;B'!$C$218:$E$222,3,FALSE),0)</f>
        <v>300</v>
      </c>
      <c r="AL12" s="50">
        <f>IF(ISNUMBER(S12),VLOOKUP(S12,'C&amp;B'!$C$218:$E$222,3,FALSE),0)</f>
        <v>360</v>
      </c>
      <c r="AM12" s="50">
        <f>IF(ISNUMBER(T12),VLOOKUP(T12,'C&amp;B'!$C$218:$E$222,3,FALSE),0)</f>
        <v>265</v>
      </c>
      <c r="AO12" s="164">
        <f>'C&amp;B'!E14</f>
        <v>9.8000000000000007</v>
      </c>
      <c r="AP12" s="14">
        <f t="shared" si="7"/>
        <v>2940</v>
      </c>
      <c r="AQ12" s="14">
        <f t="shared" si="1"/>
        <v>2597</v>
      </c>
      <c r="AR12" s="14">
        <f t="shared" si="1"/>
        <v>2597</v>
      </c>
      <c r="AS12" s="14">
        <f t="shared" si="1"/>
        <v>2940</v>
      </c>
      <c r="AT12" s="14">
        <f t="shared" si="1"/>
        <v>2940</v>
      </c>
      <c r="AU12" s="14">
        <f t="shared" si="1"/>
        <v>2940</v>
      </c>
      <c r="AV12" s="14">
        <f t="shared" si="1"/>
        <v>2940</v>
      </c>
      <c r="AW12" s="14">
        <f t="shared" si="1"/>
        <v>2940</v>
      </c>
      <c r="AX12" s="14">
        <f t="shared" si="1"/>
        <v>2940</v>
      </c>
      <c r="AY12" s="14">
        <f t="shared" si="1"/>
        <v>2940</v>
      </c>
      <c r="AZ12" s="14">
        <f t="shared" si="1"/>
        <v>2940</v>
      </c>
      <c r="BA12" s="14">
        <f t="shared" si="1"/>
        <v>2940</v>
      </c>
      <c r="BB12" s="14">
        <f t="shared" si="1"/>
        <v>2940</v>
      </c>
      <c r="BC12" s="14">
        <f t="shared" si="1"/>
        <v>2940</v>
      </c>
      <c r="BD12" s="14">
        <f t="shared" si="1"/>
        <v>2940</v>
      </c>
      <c r="BE12" s="14">
        <f t="shared" si="1"/>
        <v>3528.0000000000005</v>
      </c>
      <c r="BF12" s="14">
        <f t="shared" si="1"/>
        <v>2597</v>
      </c>
    </row>
    <row r="13" spans="2:58">
      <c r="B13" s="59" t="s">
        <v>389</v>
      </c>
      <c r="C13" s="129" t="s">
        <v>25</v>
      </c>
      <c r="D13" s="52">
        <v>0</v>
      </c>
      <c r="E13" s="53">
        <v>0</v>
      </c>
      <c r="F13" s="53">
        <f t="shared" si="3"/>
        <v>0</v>
      </c>
      <c r="G13" s="54">
        <v>0</v>
      </c>
      <c r="H13" s="54">
        <v>0</v>
      </c>
      <c r="I13" s="54">
        <v>0.75</v>
      </c>
      <c r="J13" s="54">
        <f>I13</f>
        <v>0.75</v>
      </c>
      <c r="K13" s="54">
        <v>0</v>
      </c>
      <c r="L13" s="54">
        <v>0</v>
      </c>
      <c r="M13" s="67">
        <v>0</v>
      </c>
      <c r="N13" s="53">
        <f t="shared" si="5"/>
        <v>0</v>
      </c>
      <c r="O13" s="67">
        <v>0.75</v>
      </c>
      <c r="P13" s="53">
        <f t="shared" si="6"/>
        <v>0.75</v>
      </c>
      <c r="Q13" s="67">
        <v>0.75</v>
      </c>
      <c r="R13" s="53">
        <f t="shared" si="6"/>
        <v>0.75</v>
      </c>
      <c r="S13" s="68">
        <v>0</v>
      </c>
      <c r="T13" s="134">
        <f>INPUT!C33</f>
        <v>0</v>
      </c>
      <c r="U13" s="50"/>
      <c r="V13" s="138" t="s">
        <v>696</v>
      </c>
      <c r="W13" s="50">
        <v>0</v>
      </c>
      <c r="X13" s="50">
        <v>0</v>
      </c>
      <c r="Y13" s="50">
        <v>0</v>
      </c>
      <c r="Z13" s="50">
        <v>0</v>
      </c>
      <c r="AA13" s="50">
        <v>0</v>
      </c>
      <c r="AB13" s="50">
        <v>0</v>
      </c>
      <c r="AC13" s="50">
        <v>0</v>
      </c>
      <c r="AD13" s="50">
        <v>0</v>
      </c>
      <c r="AE13" s="50">
        <v>0</v>
      </c>
      <c r="AF13" s="50">
        <v>0</v>
      </c>
      <c r="AG13" s="50">
        <v>0</v>
      </c>
      <c r="AH13" s="50">
        <v>0</v>
      </c>
      <c r="AI13" s="50">
        <v>0</v>
      </c>
      <c r="AJ13" s="50">
        <v>0</v>
      </c>
      <c r="AK13" s="50">
        <v>0</v>
      </c>
      <c r="AL13" s="50">
        <v>0</v>
      </c>
      <c r="AM13" s="50">
        <v>0</v>
      </c>
      <c r="AO13" s="164">
        <f>'C&amp;B'!E13</f>
        <v>50</v>
      </c>
      <c r="AP13" s="14">
        <f t="shared" si="7"/>
        <v>0</v>
      </c>
      <c r="AQ13" s="14">
        <f t="shared" si="1"/>
        <v>0</v>
      </c>
      <c r="AR13" s="14">
        <f t="shared" si="1"/>
        <v>0</v>
      </c>
      <c r="AS13" s="14">
        <f t="shared" si="1"/>
        <v>0</v>
      </c>
      <c r="AT13" s="14">
        <f t="shared" si="1"/>
        <v>0</v>
      </c>
      <c r="AU13" s="14">
        <f t="shared" si="1"/>
        <v>0</v>
      </c>
      <c r="AV13" s="14">
        <f t="shared" si="1"/>
        <v>0</v>
      </c>
      <c r="AW13" s="14">
        <f t="shared" si="1"/>
        <v>0</v>
      </c>
      <c r="AX13" s="14">
        <f t="shared" si="1"/>
        <v>0</v>
      </c>
      <c r="AY13" s="14">
        <f t="shared" si="1"/>
        <v>0</v>
      </c>
      <c r="AZ13" s="14">
        <f t="shared" si="1"/>
        <v>0</v>
      </c>
      <c r="BA13" s="14">
        <f t="shared" si="1"/>
        <v>0</v>
      </c>
      <c r="BB13" s="14">
        <f t="shared" si="1"/>
        <v>0</v>
      </c>
      <c r="BC13" s="14">
        <f t="shared" si="1"/>
        <v>0</v>
      </c>
      <c r="BD13" s="14">
        <f t="shared" si="1"/>
        <v>0</v>
      </c>
      <c r="BE13" s="14">
        <f t="shared" si="1"/>
        <v>0</v>
      </c>
      <c r="BF13" s="14">
        <f t="shared" si="1"/>
        <v>0</v>
      </c>
    </row>
    <row r="14" spans="2:58">
      <c r="B14" s="59" t="s">
        <v>143</v>
      </c>
      <c r="C14" s="129" t="s">
        <v>144</v>
      </c>
      <c r="D14" s="52">
        <v>5</v>
      </c>
      <c r="E14" s="53">
        <f>'C&amp;B'!D83</f>
        <v>5</v>
      </c>
      <c r="F14" s="53">
        <f t="shared" si="3"/>
        <v>5</v>
      </c>
      <c r="G14" s="54">
        <f t="shared" si="4"/>
        <v>5</v>
      </c>
      <c r="H14" s="54">
        <f t="shared" si="4"/>
        <v>5</v>
      </c>
      <c r="I14" s="54">
        <f t="shared" si="4"/>
        <v>5</v>
      </c>
      <c r="J14" s="54">
        <f t="shared" si="4"/>
        <v>5</v>
      </c>
      <c r="K14" s="54">
        <f t="shared" si="4"/>
        <v>5</v>
      </c>
      <c r="L14" s="54">
        <f t="shared" si="4"/>
        <v>5</v>
      </c>
      <c r="M14" s="53">
        <f>'C&amp;B'!G83</f>
        <v>4</v>
      </c>
      <c r="N14" s="53">
        <f t="shared" si="5"/>
        <v>4</v>
      </c>
      <c r="O14" s="53">
        <f>'C&amp;B'!H83</f>
        <v>5</v>
      </c>
      <c r="P14" s="53">
        <f t="shared" si="6"/>
        <v>5</v>
      </c>
      <c r="Q14" s="53">
        <f>'C&amp;B'!I83</f>
        <v>3</v>
      </c>
      <c r="R14" s="53">
        <f t="shared" si="6"/>
        <v>3</v>
      </c>
      <c r="S14" s="52">
        <v>5</v>
      </c>
      <c r="T14" s="134">
        <f>INPUT!C31</f>
        <v>5</v>
      </c>
      <c r="U14" s="50"/>
      <c r="V14" s="138" t="s">
        <v>697</v>
      </c>
      <c r="W14" s="50">
        <f>IF(ISNUMBER(D14),VLOOKUP(D14,'C&amp;B'!$C$224:$E$228,3,FALSE),0)</f>
        <v>2</v>
      </c>
      <c r="X14" s="50">
        <f>IF(ISNUMBER(E14),VLOOKUP(E14,'C&amp;B'!$C$224:$E$228,3,FALSE),0)</f>
        <v>2</v>
      </c>
      <c r="Y14" s="50">
        <f>IF(ISNUMBER(F14),VLOOKUP(F14,'C&amp;B'!$C$224:$E$228,3,FALSE),0)</f>
        <v>2</v>
      </c>
      <c r="Z14" s="50">
        <f>IF(ISNUMBER(G14),VLOOKUP(G14,'C&amp;B'!$C$224:$E$228,3,FALSE),0)</f>
        <v>2</v>
      </c>
      <c r="AA14" s="50">
        <f>IF(ISNUMBER(H14),VLOOKUP(H14,'C&amp;B'!$C$224:$E$228,3,FALSE),0)</f>
        <v>2</v>
      </c>
      <c r="AB14" s="50">
        <f>IF(ISNUMBER(I14),VLOOKUP(I14,'C&amp;B'!$C$224:$E$228,3,FALSE),0)</f>
        <v>2</v>
      </c>
      <c r="AC14" s="50">
        <f>IF(ISNUMBER(J14),VLOOKUP(J14,'C&amp;B'!$C$224:$E$228,3,FALSE),0)</f>
        <v>2</v>
      </c>
      <c r="AD14" s="50">
        <f>IF(ISNUMBER(K14),VLOOKUP(K14,'C&amp;B'!$C$224:$E$228,3,FALSE),0)</f>
        <v>2</v>
      </c>
      <c r="AE14" s="50">
        <f>IF(ISNUMBER(L14),VLOOKUP(L14,'C&amp;B'!$C$224:$E$228,3,FALSE),0)</f>
        <v>2</v>
      </c>
      <c r="AF14" s="50">
        <f>IF(ISNUMBER(M14),VLOOKUP(M14,'C&amp;B'!$C$224:$E$228,3,FALSE),0)</f>
        <v>4</v>
      </c>
      <c r="AG14" s="50">
        <f>IF(ISNUMBER(N14),VLOOKUP(N14,'C&amp;B'!$C$224:$E$228,3,FALSE),0)</f>
        <v>4</v>
      </c>
      <c r="AH14" s="50">
        <f>IF(ISNUMBER(O14),VLOOKUP(O14,'C&amp;B'!$C$224:$E$228,3,FALSE),0)</f>
        <v>2</v>
      </c>
      <c r="AI14" s="50">
        <f>IF(ISNUMBER(P14),VLOOKUP(P14,'C&amp;B'!$C$224:$E$228,3,FALSE),0)</f>
        <v>2</v>
      </c>
      <c r="AJ14" s="50">
        <f>IF(ISNUMBER(Q14),VLOOKUP(Q14,'C&amp;B'!$C$224:$E$228,3,FALSE),0)</f>
        <v>5</v>
      </c>
      <c r="AK14" s="50">
        <f>IF(ISNUMBER(R14),VLOOKUP(R14,'C&amp;B'!$C$224:$E$228,3,FALSE),0)</f>
        <v>5</v>
      </c>
      <c r="AL14" s="50">
        <f>IF(ISNUMBER(S14),VLOOKUP(S14,'C&amp;B'!$C$224:$E$228,3,FALSE),0)</f>
        <v>2</v>
      </c>
      <c r="AM14" s="50">
        <f>IF(ISNUMBER(T14),VLOOKUP(T14,'C&amp;B'!$C$224:$E$228,3,FALSE),0)</f>
        <v>2</v>
      </c>
      <c r="AO14" s="164">
        <v>1</v>
      </c>
      <c r="AP14" s="14">
        <f t="shared" si="7"/>
        <v>2</v>
      </c>
      <c r="AQ14" s="14">
        <f t="shared" si="1"/>
        <v>2</v>
      </c>
      <c r="AR14" s="14">
        <f t="shared" si="1"/>
        <v>2</v>
      </c>
      <c r="AS14" s="14">
        <f t="shared" si="1"/>
        <v>2</v>
      </c>
      <c r="AT14" s="14">
        <f t="shared" si="1"/>
        <v>2</v>
      </c>
      <c r="AU14" s="14">
        <f t="shared" si="1"/>
        <v>2</v>
      </c>
      <c r="AV14" s="14">
        <f t="shared" si="1"/>
        <v>2</v>
      </c>
      <c r="AW14" s="14">
        <f t="shared" si="1"/>
        <v>2</v>
      </c>
      <c r="AX14" s="14">
        <f t="shared" si="1"/>
        <v>2</v>
      </c>
      <c r="AY14" s="14">
        <f t="shared" si="1"/>
        <v>4</v>
      </c>
      <c r="AZ14" s="14">
        <f t="shared" si="1"/>
        <v>4</v>
      </c>
      <c r="BA14" s="14">
        <f t="shared" si="1"/>
        <v>2</v>
      </c>
      <c r="BB14" s="14">
        <f t="shared" si="1"/>
        <v>2</v>
      </c>
      <c r="BC14" s="14">
        <f t="shared" si="1"/>
        <v>5</v>
      </c>
      <c r="BD14" s="14">
        <f t="shared" si="1"/>
        <v>5</v>
      </c>
      <c r="BE14" s="14">
        <f t="shared" si="1"/>
        <v>2</v>
      </c>
      <c r="BF14" s="14">
        <f t="shared" si="1"/>
        <v>2</v>
      </c>
    </row>
    <row r="15" spans="2:58">
      <c r="B15" s="59" t="s">
        <v>145</v>
      </c>
      <c r="C15" s="129" t="s">
        <v>146</v>
      </c>
      <c r="D15" s="52">
        <v>0.05</v>
      </c>
      <c r="E15" s="53">
        <f>'C&amp;B'!D84</f>
        <v>0.05</v>
      </c>
      <c r="F15" s="53">
        <f t="shared" si="3"/>
        <v>0.05</v>
      </c>
      <c r="G15" s="54">
        <f t="shared" si="4"/>
        <v>0.1</v>
      </c>
      <c r="H15" s="54">
        <f t="shared" si="4"/>
        <v>0.1</v>
      </c>
      <c r="I15" s="54">
        <f t="shared" si="4"/>
        <v>0.1</v>
      </c>
      <c r="J15" s="54">
        <f t="shared" si="4"/>
        <v>0.1</v>
      </c>
      <c r="K15" s="54">
        <f t="shared" si="4"/>
        <v>0.1</v>
      </c>
      <c r="L15" s="54">
        <f t="shared" si="4"/>
        <v>0.1</v>
      </c>
      <c r="M15" s="53">
        <f>'C&amp;B'!G84</f>
        <v>7.0000000000000007E-2</v>
      </c>
      <c r="N15" s="53">
        <f t="shared" si="5"/>
        <v>7.0000000000000007E-2</v>
      </c>
      <c r="O15" s="53">
        <f>'C&amp;B'!H84</f>
        <v>0.1</v>
      </c>
      <c r="P15" s="53">
        <f t="shared" si="6"/>
        <v>0.1</v>
      </c>
      <c r="Q15" s="53">
        <f>'C&amp;B'!I84</f>
        <v>0.1</v>
      </c>
      <c r="R15" s="53">
        <f t="shared" si="6"/>
        <v>0.1</v>
      </c>
      <c r="S15" s="52">
        <v>0.05</v>
      </c>
      <c r="T15" s="54">
        <f>S15</f>
        <v>0.05</v>
      </c>
      <c r="U15" s="50"/>
      <c r="V15" s="138" t="s">
        <v>696</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O15" s="164">
        <v>1</v>
      </c>
      <c r="AP15" s="14">
        <f t="shared" si="7"/>
        <v>0</v>
      </c>
      <c r="AQ15" s="14">
        <f t="shared" si="1"/>
        <v>0</v>
      </c>
      <c r="AR15" s="14">
        <f t="shared" si="1"/>
        <v>0</v>
      </c>
      <c r="AS15" s="14">
        <f t="shared" si="1"/>
        <v>0</v>
      </c>
      <c r="AT15" s="14">
        <f t="shared" si="1"/>
        <v>0</v>
      </c>
      <c r="AU15" s="14">
        <f t="shared" si="1"/>
        <v>0</v>
      </c>
      <c r="AV15" s="14">
        <f t="shared" si="1"/>
        <v>0</v>
      </c>
      <c r="AW15" s="14">
        <f t="shared" si="1"/>
        <v>0</v>
      </c>
      <c r="AX15" s="14">
        <f t="shared" si="1"/>
        <v>0</v>
      </c>
      <c r="AY15" s="14">
        <f t="shared" si="1"/>
        <v>0</v>
      </c>
      <c r="AZ15" s="14">
        <f t="shared" si="1"/>
        <v>0</v>
      </c>
      <c r="BA15" s="14">
        <f t="shared" si="1"/>
        <v>0</v>
      </c>
      <c r="BB15" s="14">
        <f t="shared" si="1"/>
        <v>0</v>
      </c>
      <c r="BC15" s="14">
        <f t="shared" si="1"/>
        <v>0</v>
      </c>
      <c r="BD15" s="14">
        <f t="shared" si="1"/>
        <v>0</v>
      </c>
      <c r="BE15" s="14">
        <f t="shared" si="1"/>
        <v>0</v>
      </c>
      <c r="BF15" s="14">
        <f t="shared" si="1"/>
        <v>0</v>
      </c>
    </row>
    <row r="16" spans="2:58">
      <c r="B16" s="59" t="s">
        <v>387</v>
      </c>
      <c r="C16" s="129" t="s">
        <v>25</v>
      </c>
      <c r="D16" s="72">
        <f>IF(D4="Gas",SAP!$C$13,SAP!$C$18)</f>
        <v>0.89500000000000002</v>
      </c>
      <c r="E16" s="72">
        <f>IF(E4="Gas",SAP!$C$13,SAP!$C$18)</f>
        <v>0.89500000000000002</v>
      </c>
      <c r="F16" s="72">
        <f>IF(F4="Gas",SAP!$C$13,SAP!$C$18)</f>
        <v>3.3999999999999986</v>
      </c>
      <c r="G16" s="72">
        <f>IF(G4="Gas",SAP!$C$13,SAP!$C$18)</f>
        <v>0.89500000000000002</v>
      </c>
      <c r="H16" s="72">
        <f>IF(H4="Gas",SAP!$C$13,SAP!$C$18)</f>
        <v>3.3999999999999986</v>
      </c>
      <c r="I16" s="72">
        <f>IF(I4="Gas",SAP!$C$13,SAP!$C$18)</f>
        <v>0.89500000000000002</v>
      </c>
      <c r="J16" s="72">
        <f>IF(J4="Gas",SAP!$C$13,SAP!$C$18)</f>
        <v>3.3999999999999986</v>
      </c>
      <c r="K16" s="72">
        <f>IF(K4="Gas",SAP!$C$13,SAP!$C$18)</f>
        <v>0.89500000000000002</v>
      </c>
      <c r="L16" s="72">
        <f>IF(L4="Gas",SAP!$C$13,SAP!$C$18)</f>
        <v>3.3999999999999986</v>
      </c>
      <c r="M16" s="72">
        <f>IF(M4="Gas",SAP!$C$13,SAP!$C$18)</f>
        <v>0.89500000000000002</v>
      </c>
      <c r="N16" s="72">
        <f>IF(N4="Gas",SAP!$C$13,SAP!$C$18)</f>
        <v>3.3999999999999986</v>
      </c>
      <c r="O16" s="72">
        <f>IF(O4="Gas",SAP!$C$13,SAP!$C$18)</f>
        <v>0.89500000000000002</v>
      </c>
      <c r="P16" s="72">
        <f>IF(P4="Gas",SAP!$C$13,SAP!$C$18)</f>
        <v>3.3999999999999986</v>
      </c>
      <c r="Q16" s="72">
        <f>IF(Q4="Gas",SAP!$C$13,SAP!$C$18)</f>
        <v>0.89500000000000002</v>
      </c>
      <c r="R16" s="72">
        <f>IF(R4="Gas",SAP!$C$13,SAP!$C$18)</f>
        <v>3.3999999999999986</v>
      </c>
      <c r="S16" s="72">
        <f>IF(S4="Gas",SAP!$C$13,SAP!$C$18)</f>
        <v>3.3999999999999986</v>
      </c>
      <c r="T16" s="72">
        <f>IF(T4="Gas",SAP!$C$13,SAP!$C$18)</f>
        <v>3.3999999999999986</v>
      </c>
      <c r="U16" s="50"/>
      <c r="V16" s="138" t="s">
        <v>696</v>
      </c>
      <c r="W16" s="50">
        <v>0</v>
      </c>
      <c r="X16" s="50">
        <v>0</v>
      </c>
      <c r="Y16" s="50">
        <v>0</v>
      </c>
      <c r="Z16" s="50">
        <v>0</v>
      </c>
      <c r="AA16" s="50">
        <v>0</v>
      </c>
      <c r="AB16" s="50">
        <v>0</v>
      </c>
      <c r="AC16" s="50">
        <v>0</v>
      </c>
      <c r="AD16" s="50">
        <v>0</v>
      </c>
      <c r="AE16" s="50">
        <v>0</v>
      </c>
      <c r="AF16" s="50">
        <v>0</v>
      </c>
      <c r="AG16" s="50">
        <v>0</v>
      </c>
      <c r="AH16" s="50">
        <v>0</v>
      </c>
      <c r="AI16" s="50">
        <v>0</v>
      </c>
      <c r="AJ16" s="50">
        <v>0</v>
      </c>
      <c r="AK16" s="50">
        <v>0</v>
      </c>
      <c r="AL16" s="50">
        <v>0</v>
      </c>
      <c r="AM16" s="50">
        <v>0</v>
      </c>
      <c r="AO16" s="164">
        <v>1</v>
      </c>
      <c r="AP16" s="14">
        <f t="shared" si="7"/>
        <v>0</v>
      </c>
      <c r="AQ16" s="14">
        <f t="shared" si="1"/>
        <v>0</v>
      </c>
      <c r="AR16" s="14">
        <f t="shared" si="1"/>
        <v>0</v>
      </c>
      <c r="AS16" s="14">
        <f t="shared" si="1"/>
        <v>0</v>
      </c>
      <c r="AT16" s="14">
        <f t="shared" si="1"/>
        <v>0</v>
      </c>
      <c r="AU16" s="14">
        <f t="shared" si="1"/>
        <v>0</v>
      </c>
      <c r="AV16" s="14">
        <f t="shared" si="1"/>
        <v>0</v>
      </c>
      <c r="AW16" s="14">
        <f t="shared" si="1"/>
        <v>0</v>
      </c>
      <c r="AX16" s="14">
        <f t="shared" si="1"/>
        <v>0</v>
      </c>
      <c r="AY16" s="14">
        <f t="shared" si="1"/>
        <v>0</v>
      </c>
      <c r="AZ16" s="14">
        <f t="shared" si="1"/>
        <v>0</v>
      </c>
      <c r="BA16" s="14">
        <f t="shared" si="1"/>
        <v>0</v>
      </c>
      <c r="BB16" s="14">
        <f t="shared" si="1"/>
        <v>0</v>
      </c>
      <c r="BC16" s="14">
        <f t="shared" si="1"/>
        <v>0</v>
      </c>
      <c r="BD16" s="14">
        <f t="shared" si="1"/>
        <v>0</v>
      </c>
      <c r="BE16" s="14">
        <f t="shared" si="1"/>
        <v>0</v>
      </c>
      <c r="BF16" s="14">
        <f t="shared" si="1"/>
        <v>0</v>
      </c>
    </row>
    <row r="17" spans="2:58">
      <c r="B17" s="59" t="s">
        <v>388</v>
      </c>
      <c r="C17" s="129" t="s">
        <v>25</v>
      </c>
      <c r="D17" s="72">
        <f>IF(D4="Gas",SAP!$C$13,SAP!$C$19)</f>
        <v>0.89500000000000002</v>
      </c>
      <c r="E17" s="72">
        <f>IF(E4="Gas",SAP!$C$13,SAP!$C$19)</f>
        <v>0.89500000000000002</v>
      </c>
      <c r="F17" s="72">
        <f>IF(F4="Gas",SAP!$C$13,SAP!$C$19)</f>
        <v>2.2999999999999998</v>
      </c>
      <c r="G17" s="72">
        <f>IF(G4="Gas",SAP!$C$13,SAP!$C$19)</f>
        <v>0.89500000000000002</v>
      </c>
      <c r="H17" s="72">
        <f>IF(H4="Gas",SAP!$C$13,SAP!$C$19)</f>
        <v>2.2999999999999998</v>
      </c>
      <c r="I17" s="72">
        <f>IF(I4="Gas",SAP!$C$13,SAP!$C$19)</f>
        <v>0.89500000000000002</v>
      </c>
      <c r="J17" s="72">
        <f>IF(J4="Gas",SAP!$C$13,SAP!$C$19)</f>
        <v>2.2999999999999998</v>
      </c>
      <c r="K17" s="72">
        <f>IF(K4="Gas",SAP!$C$13,SAP!$C$19)</f>
        <v>0.89500000000000002</v>
      </c>
      <c r="L17" s="72">
        <f>IF(L4="Gas",SAP!$C$13,SAP!$C$19)</f>
        <v>2.2999999999999998</v>
      </c>
      <c r="M17" s="72">
        <f>IF(M4="Gas",SAP!$C$13,SAP!$C$19)</f>
        <v>0.89500000000000002</v>
      </c>
      <c r="N17" s="72">
        <f>IF(N4="Gas",SAP!$C$13,SAP!$C$19)</f>
        <v>2.2999999999999998</v>
      </c>
      <c r="O17" s="72">
        <f>IF(O4="Gas",SAP!$C$13,SAP!$C$19)</f>
        <v>0.89500000000000002</v>
      </c>
      <c r="P17" s="72">
        <f>IF(P4="Gas",SAP!$C$13,SAP!$C$19)</f>
        <v>2.2999999999999998</v>
      </c>
      <c r="Q17" s="72">
        <f>IF(Q4="Gas",SAP!$C$13,SAP!$C$19)</f>
        <v>0.89500000000000002</v>
      </c>
      <c r="R17" s="72">
        <f>IF(R4="Gas",SAP!$C$13,SAP!$C$19)</f>
        <v>2.2999999999999998</v>
      </c>
      <c r="S17" s="72">
        <f>IF(S4="Gas",SAP!$C$13,SAP!$C$19)</f>
        <v>2.2999999999999998</v>
      </c>
      <c r="T17" s="72">
        <f>IF(T4="Gas",SAP!$C$13,SAP!$C$19)</f>
        <v>2.2999999999999998</v>
      </c>
      <c r="U17" s="50"/>
      <c r="V17" s="138" t="s">
        <v>696</v>
      </c>
      <c r="W17" s="50">
        <v>0</v>
      </c>
      <c r="X17" s="50">
        <v>0</v>
      </c>
      <c r="Y17" s="50">
        <v>0</v>
      </c>
      <c r="Z17" s="50">
        <v>0</v>
      </c>
      <c r="AA17" s="50">
        <v>0</v>
      </c>
      <c r="AB17" s="50">
        <v>0</v>
      </c>
      <c r="AC17" s="50">
        <v>0</v>
      </c>
      <c r="AD17" s="50">
        <v>0</v>
      </c>
      <c r="AE17" s="50">
        <v>0</v>
      </c>
      <c r="AF17" s="50">
        <v>0</v>
      </c>
      <c r="AG17" s="50">
        <v>0</v>
      </c>
      <c r="AH17" s="50">
        <v>0</v>
      </c>
      <c r="AI17" s="50">
        <v>0</v>
      </c>
      <c r="AJ17" s="50">
        <v>0</v>
      </c>
      <c r="AK17" s="50">
        <v>0</v>
      </c>
      <c r="AL17" s="50">
        <v>0</v>
      </c>
      <c r="AM17" s="50">
        <v>0</v>
      </c>
      <c r="AO17" s="164">
        <v>1</v>
      </c>
      <c r="AP17" s="14">
        <f t="shared" si="7"/>
        <v>0</v>
      </c>
      <c r="AQ17" s="14">
        <f t="shared" si="1"/>
        <v>0</v>
      </c>
      <c r="AR17" s="14">
        <f t="shared" si="1"/>
        <v>0</v>
      </c>
      <c r="AS17" s="14">
        <f t="shared" si="1"/>
        <v>0</v>
      </c>
      <c r="AT17" s="14">
        <f t="shared" si="1"/>
        <v>0</v>
      </c>
      <c r="AU17" s="14">
        <f t="shared" si="1"/>
        <v>0</v>
      </c>
      <c r="AV17" s="14">
        <f t="shared" si="1"/>
        <v>0</v>
      </c>
      <c r="AW17" s="14">
        <f t="shared" si="1"/>
        <v>0</v>
      </c>
      <c r="AX17" s="14">
        <f t="shared" si="1"/>
        <v>0</v>
      </c>
      <c r="AY17" s="14">
        <f t="shared" si="1"/>
        <v>0</v>
      </c>
      <c r="AZ17" s="14">
        <f t="shared" si="1"/>
        <v>0</v>
      </c>
      <c r="BA17" s="14">
        <f t="shared" si="1"/>
        <v>0</v>
      </c>
      <c r="BB17" s="14">
        <f t="shared" si="1"/>
        <v>0</v>
      </c>
      <c r="BC17" s="14">
        <f t="shared" si="1"/>
        <v>0</v>
      </c>
      <c r="BD17" s="14">
        <f t="shared" si="1"/>
        <v>0</v>
      </c>
      <c r="BE17" s="14">
        <f t="shared" si="1"/>
        <v>0</v>
      </c>
      <c r="BF17" s="14">
        <f t="shared" si="1"/>
        <v>0</v>
      </c>
    </row>
    <row r="18" spans="2:58">
      <c r="B18" s="59" t="s">
        <v>346</v>
      </c>
      <c r="C18" s="129" t="s">
        <v>345</v>
      </c>
      <c r="D18" s="52" t="str">
        <f t="shared" ref="D18:T18" si="9">D4</f>
        <v>Gas</v>
      </c>
      <c r="E18" s="54" t="str">
        <f t="shared" si="9"/>
        <v>Gas</v>
      </c>
      <c r="F18" s="54" t="str">
        <f t="shared" si="9"/>
        <v>ASHP</v>
      </c>
      <c r="G18" s="54" t="str">
        <f t="shared" si="9"/>
        <v>Gas</v>
      </c>
      <c r="H18" s="54" t="str">
        <f t="shared" si="9"/>
        <v>ASHP</v>
      </c>
      <c r="I18" s="54" t="str">
        <f t="shared" si="9"/>
        <v>Gas</v>
      </c>
      <c r="J18" s="54" t="str">
        <f t="shared" si="9"/>
        <v>ASHP</v>
      </c>
      <c r="K18" s="54" t="str">
        <f t="shared" si="9"/>
        <v>Gas</v>
      </c>
      <c r="L18" s="54" t="str">
        <f t="shared" si="9"/>
        <v>ASHP</v>
      </c>
      <c r="M18" s="54" t="str">
        <f t="shared" si="9"/>
        <v>Gas</v>
      </c>
      <c r="N18" s="54" t="str">
        <f t="shared" si="9"/>
        <v>ASHP</v>
      </c>
      <c r="O18" s="54" t="str">
        <f t="shared" si="9"/>
        <v>Gas</v>
      </c>
      <c r="P18" s="54" t="str">
        <f t="shared" si="9"/>
        <v>ASHP</v>
      </c>
      <c r="Q18" s="54" t="str">
        <f t="shared" si="9"/>
        <v>Gas</v>
      </c>
      <c r="R18" s="54" t="str">
        <f t="shared" si="9"/>
        <v>ASHP</v>
      </c>
      <c r="S18" s="52" t="str">
        <f t="shared" si="9"/>
        <v>ASHP</v>
      </c>
      <c r="T18" s="54" t="str">
        <f t="shared" si="9"/>
        <v>ASHP</v>
      </c>
      <c r="U18" s="50"/>
      <c r="V18" s="11" t="s">
        <v>699</v>
      </c>
      <c r="W18" s="50">
        <f>IF(D18="Gas",'C&amp;B'!$E$253,'C&amp;B'!$E$263)</f>
        <v>1692</v>
      </c>
      <c r="X18" s="50">
        <f>IF(E18="Gas",'C&amp;B'!$E$253,'C&amp;B'!$E$263)</f>
        <v>1692</v>
      </c>
      <c r="Y18" s="50">
        <f>IF(F18="Gas",'C&amp;B'!$E$253,'C&amp;B'!$E$263)</f>
        <v>1847</v>
      </c>
      <c r="Z18" s="50">
        <f>IF(G18="Gas",'C&amp;B'!$E$253,'C&amp;B'!$E$263)</f>
        <v>1692</v>
      </c>
      <c r="AA18" s="50">
        <f>IF(H18="Gas",'C&amp;B'!$E$253,'C&amp;B'!$E$263)</f>
        <v>1847</v>
      </c>
      <c r="AB18" s="50">
        <f>IF(I18="Gas",'C&amp;B'!$E$253,'C&amp;B'!$E$263)</f>
        <v>1692</v>
      </c>
      <c r="AC18" s="50">
        <f>IF(J18="Gas",'C&amp;B'!$E$253,'C&amp;B'!$E$263)</f>
        <v>1847</v>
      </c>
      <c r="AD18" s="50">
        <f>IF(K18="Gas",'C&amp;B'!$E$253,'C&amp;B'!$E$263)</f>
        <v>1692</v>
      </c>
      <c r="AE18" s="50">
        <f>IF(L18="Gas",'C&amp;B'!$E$253,'C&amp;B'!$E$263)</f>
        <v>1847</v>
      </c>
      <c r="AF18" s="50">
        <f>IF(M18="Gas",'C&amp;B'!$E$253,'C&amp;B'!$E$263)</f>
        <v>1692</v>
      </c>
      <c r="AG18" s="50">
        <f>IF(N18="Gas",'C&amp;B'!$E$253,'C&amp;B'!$E$263)</f>
        <v>1847</v>
      </c>
      <c r="AH18" s="50">
        <f>IF(O18="Gas",'C&amp;B'!$E$253,'C&amp;B'!$E$263)</f>
        <v>1692</v>
      </c>
      <c r="AI18" s="50">
        <f>IF(P18="Gas",'C&amp;B'!$E$253,'C&amp;B'!$E$263)</f>
        <v>1847</v>
      </c>
      <c r="AJ18" s="50">
        <f>IF(Q18="Gas",'C&amp;B'!$E$253,'C&amp;B'!$E$263)</f>
        <v>1692</v>
      </c>
      <c r="AK18" s="50">
        <f>IF(R18="Gas",'C&amp;B'!$E$253,'C&amp;B'!$E$263)</f>
        <v>1847</v>
      </c>
      <c r="AL18" s="50">
        <f>IF(S18="Gas",'C&amp;B'!$E$253,'C&amp;B'!$E$263)</f>
        <v>1847</v>
      </c>
      <c r="AM18" s="50">
        <f>IF(T18="Gas",'C&amp;B'!$E$253,'C&amp;B'!$E$263)</f>
        <v>1847</v>
      </c>
      <c r="AO18" s="164">
        <v>1</v>
      </c>
      <c r="AP18" s="14">
        <f t="shared" si="7"/>
        <v>1692</v>
      </c>
      <c r="AQ18" s="14">
        <f t="shared" si="1"/>
        <v>1692</v>
      </c>
      <c r="AR18" s="14">
        <f t="shared" si="1"/>
        <v>1847</v>
      </c>
      <c r="AS18" s="14">
        <f t="shared" si="1"/>
        <v>1692</v>
      </c>
      <c r="AT18" s="14">
        <f t="shared" si="1"/>
        <v>1847</v>
      </c>
      <c r="AU18" s="14">
        <f t="shared" si="1"/>
        <v>1692</v>
      </c>
      <c r="AV18" s="14">
        <f t="shared" si="1"/>
        <v>1847</v>
      </c>
      <c r="AW18" s="14">
        <f t="shared" si="1"/>
        <v>1692</v>
      </c>
      <c r="AX18" s="14">
        <f t="shared" si="1"/>
        <v>1847</v>
      </c>
      <c r="AY18" s="14">
        <f t="shared" si="1"/>
        <v>1692</v>
      </c>
      <c r="AZ18" s="14">
        <f t="shared" si="1"/>
        <v>1847</v>
      </c>
      <c r="BA18" s="14">
        <f t="shared" si="1"/>
        <v>1692</v>
      </c>
      <c r="BB18" s="14">
        <f t="shared" si="1"/>
        <v>1847</v>
      </c>
      <c r="BC18" s="14">
        <f t="shared" si="1"/>
        <v>1692</v>
      </c>
      <c r="BD18" s="14">
        <f t="shared" si="1"/>
        <v>1847</v>
      </c>
      <c r="BE18" s="14">
        <f t="shared" si="1"/>
        <v>1847</v>
      </c>
      <c r="BF18" s="14">
        <f t="shared" si="1"/>
        <v>1847</v>
      </c>
    </row>
    <row r="19" spans="2:58">
      <c r="B19" s="59" t="s">
        <v>347</v>
      </c>
      <c r="C19" s="129" t="s">
        <v>345</v>
      </c>
      <c r="D19" s="52" t="str">
        <f>D18</f>
        <v>Gas</v>
      </c>
      <c r="E19" s="54" t="str">
        <f t="shared" ref="E19:T19" si="10">E18</f>
        <v>Gas</v>
      </c>
      <c r="F19" s="54" t="str">
        <f t="shared" si="10"/>
        <v>ASHP</v>
      </c>
      <c r="G19" s="54" t="str">
        <f t="shared" si="10"/>
        <v>Gas</v>
      </c>
      <c r="H19" s="54" t="str">
        <f t="shared" si="10"/>
        <v>ASHP</v>
      </c>
      <c r="I19" s="54" t="str">
        <f t="shared" si="10"/>
        <v>Gas</v>
      </c>
      <c r="J19" s="54" t="str">
        <f t="shared" si="10"/>
        <v>ASHP</v>
      </c>
      <c r="K19" s="54" t="str">
        <f t="shared" si="10"/>
        <v>Gas</v>
      </c>
      <c r="L19" s="54" t="str">
        <f t="shared" si="10"/>
        <v>ASHP</v>
      </c>
      <c r="M19" s="54" t="str">
        <f t="shared" si="10"/>
        <v>Gas</v>
      </c>
      <c r="N19" s="54" t="str">
        <f t="shared" si="10"/>
        <v>ASHP</v>
      </c>
      <c r="O19" s="54" t="str">
        <f t="shared" si="10"/>
        <v>Gas</v>
      </c>
      <c r="P19" s="54" t="str">
        <f t="shared" si="10"/>
        <v>ASHP</v>
      </c>
      <c r="Q19" s="54" t="str">
        <f t="shared" si="10"/>
        <v>Gas</v>
      </c>
      <c r="R19" s="54" t="str">
        <f t="shared" si="10"/>
        <v>ASHP</v>
      </c>
      <c r="S19" s="52" t="str">
        <f>S18</f>
        <v>ASHP</v>
      </c>
      <c r="T19" s="54" t="str">
        <f t="shared" si="10"/>
        <v>ASHP</v>
      </c>
      <c r="U19" s="50"/>
      <c r="V19" s="11" t="s">
        <v>699</v>
      </c>
      <c r="W19" s="50">
        <f>IF(D19="Gas",'C&amp;B'!$E$267,'C&amp;B'!$E$269)</f>
        <v>988</v>
      </c>
      <c r="X19" s="50">
        <f>IF(E19="Gas",'C&amp;B'!$E$267,'C&amp;B'!$E$269)</f>
        <v>988</v>
      </c>
      <c r="Y19" s="50">
        <f>IF(F19="Gas",'C&amp;B'!$E$267,'C&amp;B'!$E$269)</f>
        <v>85</v>
      </c>
      <c r="Z19" s="50">
        <f>IF(G19="Gas",'C&amp;B'!$E$267,'C&amp;B'!$E$269)</f>
        <v>988</v>
      </c>
      <c r="AA19" s="50">
        <f>IF(H19="Gas",'C&amp;B'!$E$267,'C&amp;B'!$E$269)</f>
        <v>85</v>
      </c>
      <c r="AB19" s="50">
        <f>IF(I19="Gas",'C&amp;B'!$E$267,'C&amp;B'!$E$269)</f>
        <v>988</v>
      </c>
      <c r="AC19" s="50">
        <f>IF(J19="Gas",'C&amp;B'!$E$267,'C&amp;B'!$E$269)</f>
        <v>85</v>
      </c>
      <c r="AD19" s="50">
        <f>IF(K19="Gas",'C&amp;B'!$E$267,'C&amp;B'!$E$269)</f>
        <v>988</v>
      </c>
      <c r="AE19" s="50">
        <f>IF(L19="Gas",'C&amp;B'!$E$267,'C&amp;B'!$E$269)</f>
        <v>85</v>
      </c>
      <c r="AF19" s="50">
        <f>IF(M19="Gas",'C&amp;B'!$E$267,'C&amp;B'!$E$269)</f>
        <v>988</v>
      </c>
      <c r="AG19" s="50">
        <f>IF(N19="Gas",'C&amp;B'!$E$267,'C&amp;B'!$E$269)</f>
        <v>85</v>
      </c>
      <c r="AH19" s="50">
        <f>IF(O19="Gas",'C&amp;B'!$E$267,'C&amp;B'!$E$269)</f>
        <v>988</v>
      </c>
      <c r="AI19" s="50">
        <f>IF(P19="Gas",'C&amp;B'!$E$267,'C&amp;B'!$E$269)</f>
        <v>85</v>
      </c>
      <c r="AJ19" s="50">
        <f>IF(Q19="Gas",'C&amp;B'!$E$267,'C&amp;B'!$E$269)</f>
        <v>988</v>
      </c>
      <c r="AK19" s="50">
        <f>IF(R19="Gas",'C&amp;B'!$E$267,'C&amp;B'!$E$269)</f>
        <v>85</v>
      </c>
      <c r="AL19" s="50">
        <f>IF(S19="Gas",'C&amp;B'!$E$267,'C&amp;B'!$E$269)</f>
        <v>85</v>
      </c>
      <c r="AM19" s="50">
        <f>IF(T19="Gas",'C&amp;B'!$E$267,'C&amp;B'!$E$269)</f>
        <v>85</v>
      </c>
      <c r="AO19" s="164">
        <v>1</v>
      </c>
      <c r="AP19" s="14">
        <f t="shared" si="7"/>
        <v>988</v>
      </c>
      <c r="AQ19" s="14">
        <f t="shared" si="1"/>
        <v>988</v>
      </c>
      <c r="AR19" s="14">
        <f t="shared" si="1"/>
        <v>85</v>
      </c>
      <c r="AS19" s="14">
        <f t="shared" si="1"/>
        <v>988</v>
      </c>
      <c r="AT19" s="14">
        <f t="shared" si="1"/>
        <v>85</v>
      </c>
      <c r="AU19" s="14">
        <f t="shared" si="1"/>
        <v>988</v>
      </c>
      <c r="AV19" s="14">
        <f t="shared" si="1"/>
        <v>85</v>
      </c>
      <c r="AW19" s="14">
        <f t="shared" si="1"/>
        <v>988</v>
      </c>
      <c r="AX19" s="14">
        <f t="shared" si="1"/>
        <v>85</v>
      </c>
      <c r="AY19" s="14">
        <f t="shared" si="1"/>
        <v>988</v>
      </c>
      <c r="AZ19" s="14">
        <f t="shared" si="1"/>
        <v>85</v>
      </c>
      <c r="BA19" s="14">
        <f t="shared" si="1"/>
        <v>988</v>
      </c>
      <c r="BB19" s="14">
        <f t="shared" si="1"/>
        <v>85</v>
      </c>
      <c r="BC19" s="14">
        <f t="shared" si="1"/>
        <v>988</v>
      </c>
      <c r="BD19" s="14">
        <f t="shared" si="1"/>
        <v>85</v>
      </c>
      <c r="BE19" s="14">
        <f t="shared" si="1"/>
        <v>85</v>
      </c>
      <c r="BF19" s="14">
        <f t="shared" si="1"/>
        <v>85</v>
      </c>
    </row>
    <row r="20" spans="2:58">
      <c r="B20" s="59" t="s">
        <v>349</v>
      </c>
      <c r="C20" s="129" t="s">
        <v>350</v>
      </c>
      <c r="D20" s="52" t="s">
        <v>365</v>
      </c>
      <c r="E20" s="54" t="s">
        <v>365</v>
      </c>
      <c r="F20" s="54" t="s">
        <v>365</v>
      </c>
      <c r="G20" s="54" t="s">
        <v>365</v>
      </c>
      <c r="H20" s="54" t="s">
        <v>365</v>
      </c>
      <c r="I20" s="54" t="s">
        <v>365</v>
      </c>
      <c r="J20" s="54" t="s">
        <v>365</v>
      </c>
      <c r="K20" s="54" t="s">
        <v>365</v>
      </c>
      <c r="L20" s="54" t="s">
        <v>365</v>
      </c>
      <c r="M20" s="54" t="s">
        <v>365</v>
      </c>
      <c r="N20" s="54" t="s">
        <v>365</v>
      </c>
      <c r="O20" s="54" t="s">
        <v>365</v>
      </c>
      <c r="P20" s="54" t="s">
        <v>365</v>
      </c>
      <c r="Q20" s="54" t="s">
        <v>365</v>
      </c>
      <c r="R20" s="54" t="s">
        <v>365</v>
      </c>
      <c r="S20" s="52" t="s">
        <v>365</v>
      </c>
      <c r="T20" s="54" t="s">
        <v>365</v>
      </c>
      <c r="U20" s="50"/>
      <c r="V20" s="11" t="s">
        <v>699</v>
      </c>
      <c r="W20" s="50">
        <f>IF(D20="Large",'C&amp;B'!$E$294,'C&amp;B'!$E$289)</f>
        <v>630</v>
      </c>
      <c r="X20" s="50">
        <f>IF(E20="Large",'C&amp;B'!$E$294,'C&amp;B'!$E$289)</f>
        <v>630</v>
      </c>
      <c r="Y20" s="50">
        <f>IF(F20="Large",'C&amp;B'!$E$294,'C&amp;B'!$E$289)</f>
        <v>630</v>
      </c>
      <c r="Z20" s="50">
        <f>IF(G20="Large",'C&amp;B'!$E$294,'C&amp;B'!$E$289)</f>
        <v>630</v>
      </c>
      <c r="AA20" s="50">
        <f>IF(H20="Large",'C&amp;B'!$E$294,'C&amp;B'!$E$289)</f>
        <v>630</v>
      </c>
      <c r="AB20" s="50">
        <f>IF(I20="Large",'C&amp;B'!$E$294,'C&amp;B'!$E$289)</f>
        <v>630</v>
      </c>
      <c r="AC20" s="50">
        <f>IF(J20="Large",'C&amp;B'!$E$294,'C&amp;B'!$E$289)</f>
        <v>630</v>
      </c>
      <c r="AD20" s="50">
        <f>IF(K20="Large",'C&amp;B'!$E$294,'C&amp;B'!$E$289)</f>
        <v>630</v>
      </c>
      <c r="AE20" s="50">
        <f>IF(L20="Large",'C&amp;B'!$E$294,'C&amp;B'!$E$289)</f>
        <v>630</v>
      </c>
      <c r="AF20" s="50">
        <f>IF(M20="Large",'C&amp;B'!$E$294,'C&amp;B'!$E$289)</f>
        <v>630</v>
      </c>
      <c r="AG20" s="50">
        <f>IF(N20="Large",'C&amp;B'!$E$294,'C&amp;B'!$E$289)</f>
        <v>630</v>
      </c>
      <c r="AH20" s="50">
        <f>IF(O20="Large",'C&amp;B'!$E$294,'C&amp;B'!$E$289)</f>
        <v>630</v>
      </c>
      <c r="AI20" s="50">
        <f>IF(P20="Large",'C&amp;B'!$E$294,'C&amp;B'!$E$289)</f>
        <v>630</v>
      </c>
      <c r="AJ20" s="50">
        <f>IF(Q20="Large",'C&amp;B'!$E$294,'C&amp;B'!$E$289)</f>
        <v>630</v>
      </c>
      <c r="AK20" s="50">
        <f>IF(R20="Large",'C&amp;B'!$E$294,'C&amp;B'!$E$289)</f>
        <v>630</v>
      </c>
      <c r="AL20" s="50">
        <f>IF(S20="Large",'C&amp;B'!$E$294,'C&amp;B'!$E$289)</f>
        <v>630</v>
      </c>
      <c r="AM20" s="50">
        <f>IF(T20="Large",'C&amp;B'!$E$294,'C&amp;B'!$E$289)</f>
        <v>630</v>
      </c>
      <c r="AO20" s="164">
        <v>1</v>
      </c>
      <c r="AP20" s="14">
        <f t="shared" si="7"/>
        <v>630</v>
      </c>
      <c r="AQ20" s="14">
        <f t="shared" si="7"/>
        <v>630</v>
      </c>
      <c r="AR20" s="14">
        <f t="shared" si="7"/>
        <v>630</v>
      </c>
      <c r="AS20" s="14">
        <f t="shared" si="7"/>
        <v>630</v>
      </c>
      <c r="AT20" s="14">
        <f t="shared" si="7"/>
        <v>630</v>
      </c>
      <c r="AU20" s="14">
        <f t="shared" si="7"/>
        <v>630</v>
      </c>
      <c r="AV20" s="14">
        <f t="shared" si="7"/>
        <v>630</v>
      </c>
      <c r="AW20" s="14">
        <f t="shared" si="7"/>
        <v>630</v>
      </c>
      <c r="AX20" s="14">
        <f t="shared" si="7"/>
        <v>630</v>
      </c>
      <c r="AY20" s="14">
        <f t="shared" si="7"/>
        <v>630</v>
      </c>
      <c r="AZ20" s="14">
        <f t="shared" si="7"/>
        <v>630</v>
      </c>
      <c r="BA20" s="14">
        <f t="shared" si="7"/>
        <v>630</v>
      </c>
      <c r="BB20" s="14">
        <f t="shared" si="7"/>
        <v>630</v>
      </c>
      <c r="BC20" s="14">
        <f t="shared" si="7"/>
        <v>630</v>
      </c>
      <c r="BD20" s="14">
        <f t="shared" si="7"/>
        <v>630</v>
      </c>
      <c r="BE20" s="14">
        <f t="shared" si="7"/>
        <v>630</v>
      </c>
      <c r="BF20" s="14">
        <f t="shared" ref="BF20:BF26" si="11">$AO20*AM20</f>
        <v>630</v>
      </c>
    </row>
    <row r="21" spans="2:58">
      <c r="B21" s="59" t="s">
        <v>352</v>
      </c>
      <c r="C21" s="129" t="s">
        <v>367</v>
      </c>
      <c r="D21" s="52" t="s">
        <v>366</v>
      </c>
      <c r="E21" s="53" t="s">
        <v>366</v>
      </c>
      <c r="F21" s="53" t="s">
        <v>366</v>
      </c>
      <c r="G21" s="53" t="s">
        <v>366</v>
      </c>
      <c r="H21" s="53" t="s">
        <v>366</v>
      </c>
      <c r="I21" s="53" t="s">
        <v>366</v>
      </c>
      <c r="J21" s="53" t="s">
        <v>366</v>
      </c>
      <c r="K21" s="53" t="s">
        <v>366</v>
      </c>
      <c r="L21" s="53" t="s">
        <v>366</v>
      </c>
      <c r="M21" s="53" t="s">
        <v>366</v>
      </c>
      <c r="N21" s="53" t="s">
        <v>366</v>
      </c>
      <c r="O21" s="53" t="s">
        <v>366</v>
      </c>
      <c r="P21" s="53" t="s">
        <v>366</v>
      </c>
      <c r="Q21" s="53" t="s">
        <v>366</v>
      </c>
      <c r="R21" s="53" t="s">
        <v>366</v>
      </c>
      <c r="S21" s="52" t="s">
        <v>366</v>
      </c>
      <c r="T21" s="53" t="s">
        <v>366</v>
      </c>
      <c r="U21" s="50"/>
      <c r="V21" s="138" t="s">
        <v>696</v>
      </c>
      <c r="W21" s="50">
        <v>0</v>
      </c>
      <c r="X21" s="50">
        <v>0</v>
      </c>
      <c r="Y21" s="50">
        <v>0</v>
      </c>
      <c r="Z21" s="50">
        <v>0</v>
      </c>
      <c r="AA21" s="50">
        <v>0</v>
      </c>
      <c r="AB21" s="50">
        <v>0</v>
      </c>
      <c r="AC21" s="50">
        <v>0</v>
      </c>
      <c r="AD21" s="50">
        <v>0</v>
      </c>
      <c r="AE21" s="50">
        <v>0</v>
      </c>
      <c r="AF21" s="50">
        <v>0</v>
      </c>
      <c r="AG21" s="50">
        <v>0</v>
      </c>
      <c r="AH21" s="50">
        <v>0</v>
      </c>
      <c r="AI21" s="50">
        <v>0</v>
      </c>
      <c r="AJ21" s="50">
        <v>0</v>
      </c>
      <c r="AK21" s="50">
        <v>0</v>
      </c>
      <c r="AL21" s="50">
        <v>0</v>
      </c>
      <c r="AM21" s="50">
        <v>0</v>
      </c>
      <c r="AO21" s="164">
        <v>1</v>
      </c>
      <c r="AP21" s="14">
        <f t="shared" si="7"/>
        <v>0</v>
      </c>
      <c r="AQ21" s="14">
        <f t="shared" si="7"/>
        <v>0</v>
      </c>
      <c r="AR21" s="14">
        <f t="shared" si="7"/>
        <v>0</v>
      </c>
      <c r="AS21" s="14">
        <f t="shared" si="7"/>
        <v>0</v>
      </c>
      <c r="AT21" s="14">
        <f t="shared" si="7"/>
        <v>0</v>
      </c>
      <c r="AU21" s="14">
        <f t="shared" si="7"/>
        <v>0</v>
      </c>
      <c r="AV21" s="14">
        <f t="shared" si="7"/>
        <v>0</v>
      </c>
      <c r="AW21" s="14">
        <f t="shared" si="7"/>
        <v>0</v>
      </c>
      <c r="AX21" s="14">
        <f t="shared" si="7"/>
        <v>0</v>
      </c>
      <c r="AY21" s="14">
        <f t="shared" si="7"/>
        <v>0</v>
      </c>
      <c r="AZ21" s="14">
        <f t="shared" si="7"/>
        <v>0</v>
      </c>
      <c r="BA21" s="14">
        <f t="shared" si="7"/>
        <v>0</v>
      </c>
      <c r="BB21" s="14">
        <f t="shared" si="7"/>
        <v>0</v>
      </c>
      <c r="BC21" s="14">
        <f t="shared" si="7"/>
        <v>0</v>
      </c>
      <c r="BD21" s="14">
        <f t="shared" si="7"/>
        <v>0</v>
      </c>
      <c r="BE21" s="14">
        <f t="shared" si="7"/>
        <v>0</v>
      </c>
      <c r="BF21" s="14">
        <f t="shared" si="11"/>
        <v>0</v>
      </c>
    </row>
    <row r="22" spans="2:58">
      <c r="B22" s="59" t="s">
        <v>353</v>
      </c>
      <c r="C22" s="129" t="s">
        <v>354</v>
      </c>
      <c r="D22" s="52" t="s">
        <v>366</v>
      </c>
      <c r="E22" s="53" t="s">
        <v>366</v>
      </c>
      <c r="F22" s="53" t="s">
        <v>366</v>
      </c>
      <c r="G22" s="53" t="s">
        <v>366</v>
      </c>
      <c r="H22" s="53" t="s">
        <v>366</v>
      </c>
      <c r="I22" s="53" t="s">
        <v>366</v>
      </c>
      <c r="J22" s="53" t="s">
        <v>366</v>
      </c>
      <c r="K22" s="53" t="s">
        <v>366</v>
      </c>
      <c r="L22" s="53" t="s">
        <v>366</v>
      </c>
      <c r="M22" s="53" t="s">
        <v>366</v>
      </c>
      <c r="N22" s="53" t="s">
        <v>366</v>
      </c>
      <c r="O22" s="53" t="s">
        <v>366</v>
      </c>
      <c r="P22" s="53" t="s">
        <v>366</v>
      </c>
      <c r="Q22" s="53" t="s">
        <v>366</v>
      </c>
      <c r="R22" s="53" t="s">
        <v>366</v>
      </c>
      <c r="S22" s="52" t="s">
        <v>366</v>
      </c>
      <c r="T22" s="53" t="s">
        <v>366</v>
      </c>
      <c r="U22" s="50"/>
      <c r="V22" s="138" t="s">
        <v>696</v>
      </c>
      <c r="W22" s="50">
        <v>0</v>
      </c>
      <c r="X22" s="50">
        <v>0</v>
      </c>
      <c r="Y22" s="50">
        <v>0</v>
      </c>
      <c r="Z22" s="50">
        <v>0</v>
      </c>
      <c r="AA22" s="50">
        <v>0</v>
      </c>
      <c r="AB22" s="50">
        <v>0</v>
      </c>
      <c r="AC22" s="50">
        <v>0</v>
      </c>
      <c r="AD22" s="50">
        <v>0</v>
      </c>
      <c r="AE22" s="50">
        <v>0</v>
      </c>
      <c r="AF22" s="50">
        <v>0</v>
      </c>
      <c r="AG22" s="50">
        <v>0</v>
      </c>
      <c r="AH22" s="50">
        <v>0</v>
      </c>
      <c r="AI22" s="50">
        <v>0</v>
      </c>
      <c r="AJ22" s="50">
        <v>0</v>
      </c>
      <c r="AK22" s="50">
        <v>0</v>
      </c>
      <c r="AL22" s="50">
        <v>0</v>
      </c>
      <c r="AM22" s="50">
        <v>0</v>
      </c>
      <c r="AO22" s="164">
        <v>1</v>
      </c>
      <c r="AP22" s="14">
        <f t="shared" si="7"/>
        <v>0</v>
      </c>
      <c r="AQ22" s="14">
        <f t="shared" si="7"/>
        <v>0</v>
      </c>
      <c r="AR22" s="14">
        <f t="shared" si="7"/>
        <v>0</v>
      </c>
      <c r="AS22" s="14">
        <f t="shared" si="7"/>
        <v>0</v>
      </c>
      <c r="AT22" s="14">
        <f t="shared" si="7"/>
        <v>0</v>
      </c>
      <c r="AU22" s="14">
        <f t="shared" si="7"/>
        <v>0</v>
      </c>
      <c r="AV22" s="14">
        <f t="shared" si="7"/>
        <v>0</v>
      </c>
      <c r="AW22" s="14">
        <f t="shared" si="7"/>
        <v>0</v>
      </c>
      <c r="AX22" s="14">
        <f t="shared" si="7"/>
        <v>0</v>
      </c>
      <c r="AY22" s="14">
        <f t="shared" si="7"/>
        <v>0</v>
      </c>
      <c r="AZ22" s="14">
        <f t="shared" si="7"/>
        <v>0</v>
      </c>
      <c r="BA22" s="14">
        <f t="shared" si="7"/>
        <v>0</v>
      </c>
      <c r="BB22" s="14">
        <f t="shared" si="7"/>
        <v>0</v>
      </c>
      <c r="BC22" s="14">
        <f t="shared" si="7"/>
        <v>0</v>
      </c>
      <c r="BD22" s="14">
        <f t="shared" si="7"/>
        <v>0</v>
      </c>
      <c r="BE22" s="14">
        <f t="shared" si="7"/>
        <v>0</v>
      </c>
      <c r="BF22" s="14">
        <f t="shared" si="11"/>
        <v>0</v>
      </c>
    </row>
    <row r="23" spans="2:58">
      <c r="B23" s="59" t="s">
        <v>355</v>
      </c>
      <c r="C23" s="129" t="s">
        <v>356</v>
      </c>
      <c r="D23" s="52" t="s">
        <v>366</v>
      </c>
      <c r="E23" s="53" t="s">
        <v>366</v>
      </c>
      <c r="F23" s="53" t="s">
        <v>366</v>
      </c>
      <c r="G23" s="53" t="s">
        <v>366</v>
      </c>
      <c r="H23" s="53" t="s">
        <v>366</v>
      </c>
      <c r="I23" s="53" t="s">
        <v>366</v>
      </c>
      <c r="J23" s="53" t="s">
        <v>366</v>
      </c>
      <c r="K23" s="53" t="s">
        <v>366</v>
      </c>
      <c r="L23" s="53" t="s">
        <v>366</v>
      </c>
      <c r="M23" s="53" t="s">
        <v>366</v>
      </c>
      <c r="N23" s="53" t="s">
        <v>366</v>
      </c>
      <c r="O23" s="53" t="s">
        <v>366</v>
      </c>
      <c r="P23" s="53" t="s">
        <v>366</v>
      </c>
      <c r="Q23" s="53" t="s">
        <v>366</v>
      </c>
      <c r="R23" s="53" t="s">
        <v>366</v>
      </c>
      <c r="S23" s="52" t="s">
        <v>366</v>
      </c>
      <c r="T23" s="53" t="s">
        <v>366</v>
      </c>
      <c r="U23" s="50"/>
      <c r="V23" s="138" t="s">
        <v>696</v>
      </c>
      <c r="W23" s="50">
        <v>0</v>
      </c>
      <c r="X23" s="50">
        <v>0</v>
      </c>
      <c r="Y23" s="50">
        <v>0</v>
      </c>
      <c r="Z23" s="50">
        <v>0</v>
      </c>
      <c r="AA23" s="50">
        <v>0</v>
      </c>
      <c r="AB23" s="50">
        <v>0</v>
      </c>
      <c r="AC23" s="50">
        <v>0</v>
      </c>
      <c r="AD23" s="50">
        <v>0</v>
      </c>
      <c r="AE23" s="50">
        <v>0</v>
      </c>
      <c r="AF23" s="50">
        <v>0</v>
      </c>
      <c r="AG23" s="50">
        <v>0</v>
      </c>
      <c r="AH23" s="50">
        <v>0</v>
      </c>
      <c r="AI23" s="50">
        <v>0</v>
      </c>
      <c r="AJ23" s="50">
        <v>0</v>
      </c>
      <c r="AK23" s="50">
        <v>0</v>
      </c>
      <c r="AL23" s="50">
        <v>0</v>
      </c>
      <c r="AM23" s="50">
        <v>0</v>
      </c>
      <c r="AO23" s="164">
        <v>1</v>
      </c>
      <c r="AP23" s="14">
        <f t="shared" si="7"/>
        <v>0</v>
      </c>
      <c r="AQ23" s="14">
        <f t="shared" si="7"/>
        <v>0</v>
      </c>
      <c r="AR23" s="14">
        <f t="shared" si="7"/>
        <v>0</v>
      </c>
      <c r="AS23" s="14">
        <f t="shared" si="7"/>
        <v>0</v>
      </c>
      <c r="AT23" s="14">
        <f t="shared" si="7"/>
        <v>0</v>
      </c>
      <c r="AU23" s="14">
        <f t="shared" si="7"/>
        <v>0</v>
      </c>
      <c r="AV23" s="14">
        <f t="shared" si="7"/>
        <v>0</v>
      </c>
      <c r="AW23" s="14">
        <f t="shared" si="7"/>
        <v>0</v>
      </c>
      <c r="AX23" s="14">
        <f t="shared" si="7"/>
        <v>0</v>
      </c>
      <c r="AY23" s="14">
        <f t="shared" si="7"/>
        <v>0</v>
      </c>
      <c r="AZ23" s="14">
        <f t="shared" si="7"/>
        <v>0</v>
      </c>
      <c r="BA23" s="14">
        <f t="shared" si="7"/>
        <v>0</v>
      </c>
      <c r="BB23" s="14">
        <f t="shared" si="7"/>
        <v>0</v>
      </c>
      <c r="BC23" s="14">
        <f t="shared" si="7"/>
        <v>0</v>
      </c>
      <c r="BD23" s="14">
        <f t="shared" si="7"/>
        <v>0</v>
      </c>
      <c r="BE23" s="14">
        <f t="shared" si="7"/>
        <v>0</v>
      </c>
      <c r="BF23" s="14">
        <f t="shared" si="11"/>
        <v>0</v>
      </c>
    </row>
    <row r="24" spans="2:58">
      <c r="B24" s="59" t="s">
        <v>357</v>
      </c>
      <c r="C24" s="129" t="s">
        <v>358</v>
      </c>
      <c r="D24" s="52" t="s">
        <v>369</v>
      </c>
      <c r="E24" s="98" t="s">
        <v>366</v>
      </c>
      <c r="F24" s="98" t="s">
        <v>366</v>
      </c>
      <c r="G24" s="98" t="s">
        <v>366</v>
      </c>
      <c r="H24" s="98" t="s">
        <v>366</v>
      </c>
      <c r="I24" s="98" t="s">
        <v>366</v>
      </c>
      <c r="J24" s="98" t="s">
        <v>366</v>
      </c>
      <c r="K24" s="98" t="s">
        <v>366</v>
      </c>
      <c r="L24" s="98" t="s">
        <v>366</v>
      </c>
      <c r="M24" s="98" t="s">
        <v>366</v>
      </c>
      <c r="N24" s="98" t="s">
        <v>366</v>
      </c>
      <c r="O24" s="98" t="s">
        <v>366</v>
      </c>
      <c r="P24" s="98" t="s">
        <v>366</v>
      </c>
      <c r="Q24" s="98" t="s">
        <v>366</v>
      </c>
      <c r="R24" s="98" t="s">
        <v>366</v>
      </c>
      <c r="S24" s="52" t="s">
        <v>366</v>
      </c>
      <c r="T24" s="134" t="str">
        <f>INPUT!C35</f>
        <v>None</v>
      </c>
      <c r="U24" s="50"/>
      <c r="V24" s="11" t="s">
        <v>699</v>
      </c>
      <c r="W24" s="50">
        <f>IF(D24="Yes",'C&amp;B'!$E$313,0)</f>
        <v>400</v>
      </c>
      <c r="X24" s="50">
        <f>IF(E24="Yes",'C&amp;B'!$E$313,0)</f>
        <v>0</v>
      </c>
      <c r="Y24" s="50">
        <f>IF(F24="Yes",'C&amp;B'!$E$313,0)</f>
        <v>0</v>
      </c>
      <c r="Z24" s="50">
        <f>IF(G24="Yes",'C&amp;B'!$E$313,0)</f>
        <v>0</v>
      </c>
      <c r="AA24" s="50">
        <f>IF(H24="Yes",'C&amp;B'!$E$313,0)</f>
        <v>0</v>
      </c>
      <c r="AB24" s="50">
        <f>IF(I24="Yes",'C&amp;B'!$E$313,0)</f>
        <v>0</v>
      </c>
      <c r="AC24" s="50">
        <f>IF(J24="Yes",'C&amp;B'!$E$313,0)</f>
        <v>0</v>
      </c>
      <c r="AD24" s="50">
        <f>IF(K24="Yes",'C&amp;B'!$E$313,0)</f>
        <v>0</v>
      </c>
      <c r="AE24" s="50">
        <f>IF(L24="Yes",'C&amp;B'!$E$313,0)</f>
        <v>0</v>
      </c>
      <c r="AF24" s="50">
        <f>IF(M24="Yes",'C&amp;B'!$E$313,0)</f>
        <v>0</v>
      </c>
      <c r="AG24" s="50">
        <f>IF(N24="Yes",'C&amp;B'!$E$313,0)</f>
        <v>0</v>
      </c>
      <c r="AH24" s="50">
        <f>IF(O24="Yes",'C&amp;B'!$E$313,0)</f>
        <v>0</v>
      </c>
      <c r="AI24" s="50">
        <f>IF(P24="Yes",'C&amp;B'!$E$313,0)</f>
        <v>0</v>
      </c>
      <c r="AJ24" s="50">
        <f>IF(Q24="Yes",'C&amp;B'!$E$313,0)</f>
        <v>0</v>
      </c>
      <c r="AK24" s="50">
        <f>IF(R24="Yes",'C&amp;B'!$E$313,0)</f>
        <v>0</v>
      </c>
      <c r="AL24" s="50">
        <f>IF(S24="Yes",'C&amp;B'!$E$313,0)</f>
        <v>0</v>
      </c>
      <c r="AM24" s="50">
        <f>IF(T24="Yes",'C&amp;B'!$E$313,0)</f>
        <v>0</v>
      </c>
      <c r="AO24" s="164">
        <v>1</v>
      </c>
      <c r="AP24" s="14">
        <f t="shared" si="7"/>
        <v>400</v>
      </c>
      <c r="AQ24" s="14">
        <f t="shared" si="7"/>
        <v>0</v>
      </c>
      <c r="AR24" s="14">
        <f t="shared" si="7"/>
        <v>0</v>
      </c>
      <c r="AS24" s="14">
        <f t="shared" si="7"/>
        <v>0</v>
      </c>
      <c r="AT24" s="14">
        <f t="shared" si="7"/>
        <v>0</v>
      </c>
      <c r="AU24" s="14">
        <f t="shared" si="7"/>
        <v>0</v>
      </c>
      <c r="AV24" s="14">
        <f t="shared" si="7"/>
        <v>0</v>
      </c>
      <c r="AW24" s="14">
        <f t="shared" si="7"/>
        <v>0</v>
      </c>
      <c r="AX24" s="14">
        <f t="shared" si="7"/>
        <v>0</v>
      </c>
      <c r="AY24" s="14">
        <f t="shared" si="7"/>
        <v>0</v>
      </c>
      <c r="AZ24" s="14">
        <f t="shared" si="7"/>
        <v>0</v>
      </c>
      <c r="BA24" s="14">
        <f t="shared" si="7"/>
        <v>0</v>
      </c>
      <c r="BB24" s="14">
        <f t="shared" si="7"/>
        <v>0</v>
      </c>
      <c r="BC24" s="14">
        <f t="shared" si="7"/>
        <v>0</v>
      </c>
      <c r="BD24" s="14">
        <f t="shared" si="7"/>
        <v>0</v>
      </c>
      <c r="BE24" s="14">
        <f t="shared" si="7"/>
        <v>0</v>
      </c>
      <c r="BF24" s="14">
        <f t="shared" si="11"/>
        <v>0</v>
      </c>
    </row>
    <row r="25" spans="2:58">
      <c r="B25" s="59" t="s">
        <v>370</v>
      </c>
      <c r="C25" s="129" t="s">
        <v>19</v>
      </c>
      <c r="D25" s="52">
        <v>80</v>
      </c>
      <c r="E25" s="54">
        <f>D25</f>
        <v>80</v>
      </c>
      <c r="F25" s="54">
        <f t="shared" ref="F25:T25" si="12">E25</f>
        <v>80</v>
      </c>
      <c r="G25" s="54">
        <f t="shared" si="12"/>
        <v>80</v>
      </c>
      <c r="H25" s="54">
        <f t="shared" si="12"/>
        <v>80</v>
      </c>
      <c r="I25" s="54">
        <f t="shared" si="12"/>
        <v>80</v>
      </c>
      <c r="J25" s="54">
        <f t="shared" si="12"/>
        <v>80</v>
      </c>
      <c r="K25" s="54">
        <f t="shared" si="12"/>
        <v>80</v>
      </c>
      <c r="L25" s="54">
        <f t="shared" si="12"/>
        <v>80</v>
      </c>
      <c r="M25" s="54">
        <f t="shared" si="12"/>
        <v>80</v>
      </c>
      <c r="N25" s="54">
        <f t="shared" si="12"/>
        <v>80</v>
      </c>
      <c r="O25" s="54">
        <f t="shared" si="12"/>
        <v>80</v>
      </c>
      <c r="P25" s="54">
        <f t="shared" si="12"/>
        <v>80</v>
      </c>
      <c r="Q25" s="54">
        <f t="shared" si="12"/>
        <v>80</v>
      </c>
      <c r="R25" s="54">
        <f t="shared" si="12"/>
        <v>80</v>
      </c>
      <c r="S25" s="54">
        <f t="shared" si="12"/>
        <v>80</v>
      </c>
      <c r="T25" s="54">
        <f t="shared" si="12"/>
        <v>80</v>
      </c>
      <c r="U25" s="50"/>
      <c r="V25" s="138" t="s">
        <v>696</v>
      </c>
      <c r="W25" s="50">
        <v>0</v>
      </c>
      <c r="X25" s="50">
        <v>0</v>
      </c>
      <c r="Y25" s="50">
        <v>0</v>
      </c>
      <c r="Z25" s="50">
        <v>0</v>
      </c>
      <c r="AA25" s="50">
        <v>0</v>
      </c>
      <c r="AB25" s="50">
        <v>0</v>
      </c>
      <c r="AC25" s="50">
        <v>0</v>
      </c>
      <c r="AD25" s="50">
        <v>0</v>
      </c>
      <c r="AE25" s="50">
        <v>0</v>
      </c>
      <c r="AF25" s="50">
        <v>0</v>
      </c>
      <c r="AG25" s="50">
        <v>0</v>
      </c>
      <c r="AH25" s="50">
        <v>0</v>
      </c>
      <c r="AI25" s="50">
        <v>0</v>
      </c>
      <c r="AJ25" s="50">
        <v>0</v>
      </c>
      <c r="AK25" s="50">
        <v>0</v>
      </c>
      <c r="AL25" s="50">
        <v>0</v>
      </c>
      <c r="AM25" s="50">
        <v>0</v>
      </c>
      <c r="AO25" s="164">
        <v>1</v>
      </c>
      <c r="AP25" s="14">
        <f t="shared" si="7"/>
        <v>0</v>
      </c>
      <c r="AQ25" s="14">
        <f t="shared" si="7"/>
        <v>0</v>
      </c>
      <c r="AR25" s="14">
        <f t="shared" si="7"/>
        <v>0</v>
      </c>
      <c r="AS25" s="14">
        <f t="shared" si="7"/>
        <v>0</v>
      </c>
      <c r="AT25" s="14">
        <f t="shared" si="7"/>
        <v>0</v>
      </c>
      <c r="AU25" s="14">
        <f t="shared" si="7"/>
        <v>0</v>
      </c>
      <c r="AV25" s="14">
        <f t="shared" si="7"/>
        <v>0</v>
      </c>
      <c r="AW25" s="14">
        <f t="shared" si="7"/>
        <v>0</v>
      </c>
      <c r="AX25" s="14">
        <f t="shared" si="7"/>
        <v>0</v>
      </c>
      <c r="AY25" s="14">
        <f t="shared" si="7"/>
        <v>0</v>
      </c>
      <c r="AZ25" s="14">
        <f t="shared" si="7"/>
        <v>0</v>
      </c>
      <c r="BA25" s="14">
        <f t="shared" si="7"/>
        <v>0</v>
      </c>
      <c r="BB25" s="14">
        <f t="shared" si="7"/>
        <v>0</v>
      </c>
      <c r="BC25" s="14">
        <f t="shared" si="7"/>
        <v>0</v>
      </c>
      <c r="BD25" s="14">
        <f t="shared" si="7"/>
        <v>0</v>
      </c>
      <c r="BE25" s="14">
        <f t="shared" si="7"/>
        <v>0</v>
      </c>
      <c r="BF25" s="14">
        <f t="shared" si="11"/>
        <v>0</v>
      </c>
    </row>
    <row r="26" spans="2:58">
      <c r="B26" s="59" t="s">
        <v>371</v>
      </c>
      <c r="C26" s="129" t="s">
        <v>79</v>
      </c>
      <c r="D26" s="62">
        <f>SAP!D147</f>
        <v>2.6215384615384618</v>
      </c>
      <c r="E26" s="54">
        <v>0</v>
      </c>
      <c r="F26" s="54">
        <v>0</v>
      </c>
      <c r="G26" s="54">
        <v>0</v>
      </c>
      <c r="H26" s="54">
        <v>0</v>
      </c>
      <c r="I26" s="54">
        <v>0</v>
      </c>
      <c r="J26" s="54">
        <v>0</v>
      </c>
      <c r="K26" s="54">
        <v>0</v>
      </c>
      <c r="L26" s="54">
        <v>0</v>
      </c>
      <c r="M26" s="54">
        <v>0</v>
      </c>
      <c r="N26" s="54">
        <v>0</v>
      </c>
      <c r="O26" s="54">
        <v>0</v>
      </c>
      <c r="P26" s="54">
        <v>0</v>
      </c>
      <c r="Q26" s="54">
        <v>0</v>
      </c>
      <c r="R26" s="54">
        <v>0</v>
      </c>
      <c r="S26" s="52">
        <v>0</v>
      </c>
      <c r="T26" s="134">
        <f>INPUT!C36</f>
        <v>0</v>
      </c>
      <c r="U26" s="50"/>
      <c r="V26" s="138" t="s">
        <v>699</v>
      </c>
      <c r="W26" s="143">
        <f>IF(D26=0,0,IF(D26&lt;4,'C&amp;B'!$E$316+(D26*'C&amp;B'!$E$317),D26*'C&amp;B'!$E$318))</f>
        <v>2672.9230769230771</v>
      </c>
      <c r="X26" s="143">
        <f>IF(E26=0,0,IF(E26&lt;4,'C&amp;B'!$E$316+(E26*'C&amp;B'!$E$317),E26*'C&amp;B'!$E$318))</f>
        <v>0</v>
      </c>
      <c r="Y26" s="143">
        <f>IF(F26=0,0,IF(F26&lt;4,'C&amp;B'!$E$316+(F26*'C&amp;B'!$E$317),F26*'C&amp;B'!$E$318))</f>
        <v>0</v>
      </c>
      <c r="Z26" s="143">
        <f>IF(G26=0,0,IF(G26&lt;4,'C&amp;B'!$E$316+(G26*'C&amp;B'!$E$317),G26*'C&amp;B'!$E$318))</f>
        <v>0</v>
      </c>
      <c r="AA26" s="143">
        <f>IF(H26=0,0,IF(H26&lt;4,'C&amp;B'!$E$316+(H26*'C&amp;B'!$E$317),H26*'C&amp;B'!$E$318))</f>
        <v>0</v>
      </c>
      <c r="AB26" s="143">
        <f>IF(I26=0,0,IF(I26&lt;4,'C&amp;B'!$E$316+(I26*'C&amp;B'!$E$317),I26*'C&amp;B'!$E$318))</f>
        <v>0</v>
      </c>
      <c r="AC26" s="143">
        <f>IF(J26=0,0,IF(J26&lt;4,'C&amp;B'!$E$316+(J26*'C&amp;B'!$E$317),J26*'C&amp;B'!$E$318))</f>
        <v>0</v>
      </c>
      <c r="AD26" s="143">
        <f>IF(K26=0,0,IF(K26&lt;4,'C&amp;B'!$E$316+(K26*'C&amp;B'!$E$317),K26*'C&amp;B'!$E$318))</f>
        <v>0</v>
      </c>
      <c r="AE26" s="143">
        <f>IF(L26=0,0,IF(L26&lt;4,'C&amp;B'!$E$316+(L26*'C&amp;B'!$E$317),L26*'C&amp;B'!$E$318))</f>
        <v>0</v>
      </c>
      <c r="AF26" s="143">
        <f>IF(M26=0,0,IF(M26&lt;4,'C&amp;B'!$E$316+(M26*'C&amp;B'!$E$317),M26*'C&amp;B'!$E$318))</f>
        <v>0</v>
      </c>
      <c r="AG26" s="143">
        <f>IF(N26=0,0,IF(N26&lt;4,'C&amp;B'!$E$316+(N26*'C&amp;B'!$E$317),N26*'C&amp;B'!$E$318))</f>
        <v>0</v>
      </c>
      <c r="AH26" s="143">
        <f>IF(O26=0,0,IF(O26&lt;4,'C&amp;B'!$E$316+(O26*'C&amp;B'!$E$317),O26*'C&amp;B'!$E$318))</f>
        <v>0</v>
      </c>
      <c r="AI26" s="143">
        <f>IF(P26=0,0,IF(P26&lt;4,'C&amp;B'!$E$316+(P26*'C&amp;B'!$E$317),P26*'C&amp;B'!$E$318))</f>
        <v>0</v>
      </c>
      <c r="AJ26" s="143">
        <f>IF(Q26=0,0,IF(Q26&lt;4,'C&amp;B'!$E$316+(Q26*'C&amp;B'!$E$317),Q26*'C&amp;B'!$E$318))</f>
        <v>0</v>
      </c>
      <c r="AK26" s="143">
        <f>IF(R26=0,0,IF(R26&lt;4,'C&amp;B'!$E$316+(R26*'C&amp;B'!$E$317),R26*'C&amp;B'!$E$318))</f>
        <v>0</v>
      </c>
      <c r="AL26" s="143">
        <f>IF(S26=0,0,IF(S26&lt;4,'C&amp;B'!$E$316+(S26*'C&amp;B'!$E$317),S26*'C&amp;B'!$E$318))</f>
        <v>0</v>
      </c>
      <c r="AM26" s="143">
        <f>IF(T26=0,0,IF(T26&lt;4,'C&amp;B'!$E$316+(T26*'C&amp;B'!$E$317),T26*'C&amp;B'!$E$318))</f>
        <v>0</v>
      </c>
      <c r="AO26" s="164">
        <v>1</v>
      </c>
      <c r="AP26" s="14">
        <f t="shared" si="7"/>
        <v>2672.9230769230771</v>
      </c>
      <c r="AQ26" s="14">
        <f t="shared" si="7"/>
        <v>0</v>
      </c>
      <c r="AR26" s="14">
        <f t="shared" si="7"/>
        <v>0</v>
      </c>
      <c r="AS26" s="14">
        <f t="shared" si="7"/>
        <v>0</v>
      </c>
      <c r="AT26" s="14">
        <f t="shared" si="7"/>
        <v>0</v>
      </c>
      <c r="AU26" s="14">
        <f t="shared" si="7"/>
        <v>0</v>
      </c>
      <c r="AV26" s="14">
        <f t="shared" si="7"/>
        <v>0</v>
      </c>
      <c r="AW26" s="14">
        <f t="shared" si="7"/>
        <v>0</v>
      </c>
      <c r="AX26" s="14">
        <f t="shared" si="7"/>
        <v>0</v>
      </c>
      <c r="AY26" s="14">
        <f t="shared" si="7"/>
        <v>0</v>
      </c>
      <c r="AZ26" s="14">
        <f t="shared" si="7"/>
        <v>0</v>
      </c>
      <c r="BA26" s="14">
        <f t="shared" si="7"/>
        <v>0</v>
      </c>
      <c r="BB26" s="14">
        <f t="shared" si="7"/>
        <v>0</v>
      </c>
      <c r="BC26" s="14">
        <f t="shared" si="7"/>
        <v>0</v>
      </c>
      <c r="BD26" s="14">
        <f t="shared" si="7"/>
        <v>0</v>
      </c>
      <c r="BE26" s="14">
        <f t="shared" si="7"/>
        <v>0</v>
      </c>
      <c r="BF26" s="14">
        <f t="shared" si="11"/>
        <v>0</v>
      </c>
    </row>
    <row r="27" spans="2:58">
      <c r="B27" s="59" t="s">
        <v>373</v>
      </c>
      <c r="C27" s="129" t="s">
        <v>450</v>
      </c>
      <c r="D27" s="73">
        <f>D87</f>
        <v>33.477480416110012</v>
      </c>
      <c r="E27" s="169">
        <f>'C&amp;B'!C151</f>
        <v>32.89</v>
      </c>
      <c r="F27" s="169">
        <f>E27</f>
        <v>32.89</v>
      </c>
      <c r="G27" s="73">
        <f>F87</f>
        <v>43.895815516959999</v>
      </c>
      <c r="H27" s="73">
        <f>G27</f>
        <v>43.895815516959999</v>
      </c>
      <c r="I27" s="73">
        <f>G87</f>
        <v>21.467569932759996</v>
      </c>
      <c r="J27" s="73">
        <f>I27</f>
        <v>21.467569932759996</v>
      </c>
      <c r="K27" s="73">
        <f>H87</f>
        <v>43.895815516959999</v>
      </c>
      <c r="L27" s="73">
        <f>K27</f>
        <v>43.895815516959999</v>
      </c>
      <c r="M27" s="73">
        <f>I87</f>
        <v>30.467569294749989</v>
      </c>
      <c r="N27" s="73">
        <f>M27</f>
        <v>30.467569294749989</v>
      </c>
      <c r="O27" s="169">
        <f>'C&amp;B'!C153</f>
        <v>19.16</v>
      </c>
      <c r="P27" s="169">
        <f>O27</f>
        <v>19.16</v>
      </c>
      <c r="Q27" s="169">
        <f>'C&amp;B'!C154</f>
        <v>14.75</v>
      </c>
      <c r="R27" s="169">
        <f>Q27</f>
        <v>14.75</v>
      </c>
      <c r="S27" s="73">
        <f>L87</f>
        <v>25.510089036439989</v>
      </c>
      <c r="T27" s="73">
        <f>$C$92*(M86^2)+(M86*$C$93)+$C$94</f>
        <v>37.494049999960012</v>
      </c>
      <c r="U27" s="50"/>
      <c r="V27" s="138"/>
      <c r="W27" s="50"/>
      <c r="X27" s="50"/>
      <c r="AO27" t="s">
        <v>501</v>
      </c>
      <c r="AP27" s="14">
        <f>SUM(AP4:AP26)</f>
        <v>33906.923076923078</v>
      </c>
      <c r="AQ27" s="14">
        <f t="shared" ref="AQ27:BF27" si="13">SUM(AQ4:AQ26)</f>
        <v>30705</v>
      </c>
      <c r="AR27" s="14">
        <f t="shared" si="13"/>
        <v>25538</v>
      </c>
      <c r="AS27" s="14">
        <f t="shared" si="13"/>
        <v>30495</v>
      </c>
      <c r="AT27" s="14">
        <f t="shared" si="13"/>
        <v>25328</v>
      </c>
      <c r="AU27" s="14">
        <f t="shared" si="13"/>
        <v>31850</v>
      </c>
      <c r="AV27" s="14">
        <f t="shared" si="13"/>
        <v>26683</v>
      </c>
      <c r="AW27" s="14">
        <f t="shared" si="13"/>
        <v>30495</v>
      </c>
      <c r="AX27" s="14">
        <f t="shared" si="13"/>
        <v>25328</v>
      </c>
      <c r="AY27" s="14">
        <f t="shared" si="13"/>
        <v>31123</v>
      </c>
      <c r="AZ27" s="14">
        <f t="shared" si="13"/>
        <v>25956</v>
      </c>
      <c r="BA27" s="14">
        <f t="shared" si="13"/>
        <v>31850</v>
      </c>
      <c r="BB27" s="14">
        <f t="shared" si="13"/>
        <v>26683</v>
      </c>
      <c r="BC27" s="14">
        <f t="shared" si="13"/>
        <v>32176</v>
      </c>
      <c r="BD27" s="14">
        <f t="shared" si="13"/>
        <v>27009</v>
      </c>
      <c r="BE27" s="14">
        <f t="shared" si="13"/>
        <v>26482</v>
      </c>
      <c r="BF27" s="14">
        <f t="shared" si="13"/>
        <v>25274</v>
      </c>
    </row>
    <row r="28" spans="2:58">
      <c r="B28" s="59" t="s">
        <v>374</v>
      </c>
      <c r="C28" s="129" t="s">
        <v>450</v>
      </c>
      <c r="D28" s="73">
        <f>E28-SAP!C106</f>
        <v>21.791855414450193</v>
      </c>
      <c r="E28" s="169">
        <f>'C&amp;B'!D151</f>
        <v>27.16</v>
      </c>
      <c r="F28" s="169">
        <f>E28</f>
        <v>27.16</v>
      </c>
      <c r="G28" s="74">
        <f t="shared" ref="G28:N28" si="14">$O28</f>
        <v>27.62</v>
      </c>
      <c r="H28" s="74">
        <f t="shared" si="14"/>
        <v>27.62</v>
      </c>
      <c r="I28" s="74">
        <f t="shared" si="14"/>
        <v>27.62</v>
      </c>
      <c r="J28" s="74">
        <f t="shared" si="14"/>
        <v>27.62</v>
      </c>
      <c r="K28" s="74">
        <f t="shared" si="14"/>
        <v>27.62</v>
      </c>
      <c r="L28" s="74">
        <f t="shared" si="14"/>
        <v>27.62</v>
      </c>
      <c r="M28" s="74">
        <f t="shared" si="14"/>
        <v>27.62</v>
      </c>
      <c r="N28" s="74">
        <f t="shared" si="14"/>
        <v>27.62</v>
      </c>
      <c r="O28" s="169">
        <f>'C&amp;B'!D153</f>
        <v>27.62</v>
      </c>
      <c r="P28" s="169">
        <f>O28</f>
        <v>27.62</v>
      </c>
      <c r="Q28" s="169">
        <f>'C&amp;B'!D157</f>
        <v>27.62</v>
      </c>
      <c r="R28" s="169">
        <f>Q28</f>
        <v>27.62</v>
      </c>
      <c r="S28" s="74">
        <f>R28</f>
        <v>27.62</v>
      </c>
      <c r="T28" s="74">
        <f>S28</f>
        <v>27.62</v>
      </c>
      <c r="U28" s="50"/>
      <c r="V28" s="138"/>
      <c r="W28" s="50"/>
      <c r="X28" s="50"/>
      <c r="AO28" t="s">
        <v>704</v>
      </c>
      <c r="AP28" s="14">
        <f>AP27-$AP$27</f>
        <v>0</v>
      </c>
      <c r="AQ28" s="14">
        <f t="shared" ref="AQ28:BF28" si="15">AQ27-$AP$27</f>
        <v>-3201.923076923078</v>
      </c>
      <c r="AR28" s="14">
        <f t="shared" si="15"/>
        <v>-8368.923076923078</v>
      </c>
      <c r="AS28" s="14">
        <f t="shared" si="15"/>
        <v>-3411.923076923078</v>
      </c>
      <c r="AT28" s="14">
        <f t="shared" si="15"/>
        <v>-8578.923076923078</v>
      </c>
      <c r="AU28" s="14">
        <f t="shared" si="15"/>
        <v>-2056.923076923078</v>
      </c>
      <c r="AV28" s="14">
        <f t="shared" si="15"/>
        <v>-7223.923076923078</v>
      </c>
      <c r="AW28" s="14">
        <f t="shared" si="15"/>
        <v>-3411.923076923078</v>
      </c>
      <c r="AX28" s="14">
        <f t="shared" si="15"/>
        <v>-8578.923076923078</v>
      </c>
      <c r="AY28" s="14">
        <f t="shared" si="15"/>
        <v>-2783.923076923078</v>
      </c>
      <c r="AZ28" s="14">
        <f t="shared" si="15"/>
        <v>-7950.923076923078</v>
      </c>
      <c r="BA28" s="14">
        <f t="shared" si="15"/>
        <v>-2056.923076923078</v>
      </c>
      <c r="BB28" s="14">
        <f t="shared" si="15"/>
        <v>-7223.923076923078</v>
      </c>
      <c r="BC28" s="14">
        <f t="shared" si="15"/>
        <v>-1730.923076923078</v>
      </c>
      <c r="BD28" s="14">
        <f t="shared" si="15"/>
        <v>-6897.923076923078</v>
      </c>
      <c r="BE28" s="14">
        <f t="shared" si="15"/>
        <v>-7424.923076923078</v>
      </c>
      <c r="BF28" s="14">
        <f t="shared" si="15"/>
        <v>-8632.923076923078</v>
      </c>
    </row>
    <row r="29" spans="2:58">
      <c r="B29" s="59" t="s">
        <v>375</v>
      </c>
      <c r="C29" s="129" t="s">
        <v>450</v>
      </c>
      <c r="D29" s="73">
        <f>D27/D16</f>
        <v>37.405006051519564</v>
      </c>
      <c r="E29" s="73">
        <f t="shared" ref="E29:T30" si="16">E27/E16</f>
        <v>36.74860335195531</v>
      </c>
      <c r="F29" s="73">
        <f t="shared" si="16"/>
        <v>9.6735294117647097</v>
      </c>
      <c r="G29" s="73">
        <f t="shared" si="16"/>
        <v>49.045603929564244</v>
      </c>
      <c r="H29" s="73">
        <f t="shared" si="16"/>
        <v>12.910533975576476</v>
      </c>
      <c r="I29" s="73">
        <f t="shared" si="16"/>
        <v>23.986111656715078</v>
      </c>
      <c r="J29" s="73">
        <f t="shared" si="16"/>
        <v>6.3139911566941196</v>
      </c>
      <c r="K29" s="73">
        <f t="shared" si="16"/>
        <v>49.045603929564244</v>
      </c>
      <c r="L29" s="73">
        <f t="shared" si="16"/>
        <v>12.910533975576476</v>
      </c>
      <c r="M29" s="73">
        <f t="shared" si="16"/>
        <v>34.041976865642447</v>
      </c>
      <c r="N29" s="73">
        <f t="shared" si="16"/>
        <v>8.9610497925735295</v>
      </c>
      <c r="O29" s="73">
        <f t="shared" si="16"/>
        <v>21.407821229050278</v>
      </c>
      <c r="P29" s="73">
        <f t="shared" si="16"/>
        <v>5.635294117647061</v>
      </c>
      <c r="Q29" s="73">
        <f t="shared" si="16"/>
        <v>16.480446927374302</v>
      </c>
      <c r="R29" s="73">
        <f t="shared" si="16"/>
        <v>4.3382352941176485</v>
      </c>
      <c r="S29" s="73">
        <f t="shared" si="16"/>
        <v>7.5029673636588239</v>
      </c>
      <c r="T29" s="73">
        <f t="shared" si="16"/>
        <v>11.027661764694125</v>
      </c>
      <c r="U29" s="50"/>
      <c r="V29" s="138"/>
      <c r="W29" s="50"/>
      <c r="X29" s="50"/>
      <c r="AO29" t="s">
        <v>705</v>
      </c>
      <c r="AP29" s="14">
        <f>AP27-$BE$27</f>
        <v>7424.923076923078</v>
      </c>
      <c r="AQ29" s="14">
        <f t="shared" ref="AQ29:BF29" si="17">AQ27-$BE$27</f>
        <v>4223</v>
      </c>
      <c r="AR29" s="14">
        <f t="shared" si="17"/>
        <v>-944</v>
      </c>
      <c r="AS29" s="14">
        <f t="shared" si="17"/>
        <v>4013</v>
      </c>
      <c r="AT29" s="14">
        <f t="shared" si="17"/>
        <v>-1154</v>
      </c>
      <c r="AU29" s="14">
        <f t="shared" si="17"/>
        <v>5368</v>
      </c>
      <c r="AV29" s="14">
        <f t="shared" si="17"/>
        <v>201</v>
      </c>
      <c r="AW29" s="14">
        <f t="shared" si="17"/>
        <v>4013</v>
      </c>
      <c r="AX29" s="14">
        <f t="shared" si="17"/>
        <v>-1154</v>
      </c>
      <c r="AY29" s="14">
        <f t="shared" si="17"/>
        <v>4641</v>
      </c>
      <c r="AZ29" s="14">
        <f t="shared" si="17"/>
        <v>-526</v>
      </c>
      <c r="BA29" s="14">
        <f t="shared" si="17"/>
        <v>5368</v>
      </c>
      <c r="BB29" s="14">
        <f t="shared" si="17"/>
        <v>201</v>
      </c>
      <c r="BC29" s="14">
        <f t="shared" si="17"/>
        <v>5694</v>
      </c>
      <c r="BD29" s="14">
        <f t="shared" si="17"/>
        <v>527</v>
      </c>
      <c r="BE29" s="14">
        <f t="shared" si="17"/>
        <v>0</v>
      </c>
      <c r="BF29" s="14">
        <f t="shared" si="17"/>
        <v>-1208</v>
      </c>
    </row>
    <row r="30" spans="2:58">
      <c r="B30" s="59" t="s">
        <v>376</v>
      </c>
      <c r="C30" s="129" t="s">
        <v>450</v>
      </c>
      <c r="D30" s="73">
        <f>D28/D17</f>
        <v>24.348441803854964</v>
      </c>
      <c r="E30" s="73">
        <f t="shared" si="16"/>
        <v>30.346368715083798</v>
      </c>
      <c r="F30" s="73">
        <f t="shared" si="16"/>
        <v>11.808695652173913</v>
      </c>
      <c r="G30" s="73">
        <f t="shared" si="16"/>
        <v>30.860335195530727</v>
      </c>
      <c r="H30" s="73">
        <f t="shared" si="16"/>
        <v>12.008695652173914</v>
      </c>
      <c r="I30" s="73">
        <f t="shared" si="16"/>
        <v>30.860335195530727</v>
      </c>
      <c r="J30" s="73">
        <f t="shared" si="16"/>
        <v>12.008695652173914</v>
      </c>
      <c r="K30" s="73">
        <f t="shared" si="16"/>
        <v>30.860335195530727</v>
      </c>
      <c r="L30" s="73">
        <f t="shared" si="16"/>
        <v>12.008695652173914</v>
      </c>
      <c r="M30" s="73">
        <f t="shared" si="16"/>
        <v>30.860335195530727</v>
      </c>
      <c r="N30" s="73">
        <f t="shared" si="16"/>
        <v>12.008695652173914</v>
      </c>
      <c r="O30" s="73">
        <f t="shared" si="16"/>
        <v>30.860335195530727</v>
      </c>
      <c r="P30" s="73">
        <f t="shared" si="16"/>
        <v>12.008695652173914</v>
      </c>
      <c r="Q30" s="73">
        <f t="shared" si="16"/>
        <v>30.860335195530727</v>
      </c>
      <c r="R30" s="73">
        <f t="shared" si="16"/>
        <v>12.008695652173914</v>
      </c>
      <c r="S30" s="73">
        <f t="shared" si="16"/>
        <v>12.008695652173914</v>
      </c>
      <c r="T30" s="73">
        <f t="shared" si="16"/>
        <v>12.008695652173914</v>
      </c>
      <c r="U30" s="50"/>
      <c r="V30" s="138"/>
      <c r="W30" s="50"/>
      <c r="X30" s="50"/>
    </row>
    <row r="31" spans="2:58">
      <c r="B31" s="59" t="s">
        <v>377</v>
      </c>
      <c r="C31" s="129" t="s">
        <v>450</v>
      </c>
      <c r="D31" s="73">
        <f>(IF(D5="Natural Ventilation",SAP!$C$24+(SAP!$C$30*'C&amp;B'!$D$19),SAP!$C$24+SAP!$C$31*'C&amp;B'!$D$19))/'C&amp;B'!$C$13</f>
        <v>4.6108556789069173</v>
      </c>
      <c r="E31" s="73">
        <f>(IF(E5="Natural Ventilation",SAP!$C$24+(SAP!$C$30*'C&amp;B'!$D$19),SAP!$C$24+SAP!$C$31*'C&amp;B'!$D$19))/'C&amp;B'!$C$13</f>
        <v>4.6108556789069173</v>
      </c>
      <c r="F31" s="73">
        <f>(IF(F5="Natural Ventilation",SAP!$C$24+(SAP!$C$30*'C&amp;B'!$D$19),SAP!$C$24+SAP!$C$31*'C&amp;B'!$D$19))/'C&amp;B'!$C$13</f>
        <v>4.6108556789069173</v>
      </c>
      <c r="G31" s="73">
        <f>(IF(G5="Natural Ventilation",SAP!$C$24+(SAP!$C$30*'C&amp;B'!$D$19),SAP!$C$24+SAP!$C$31*'C&amp;B'!$D$19))/'C&amp;B'!$C$13</f>
        <v>4.6108556789069173</v>
      </c>
      <c r="H31" s="73">
        <f>(IF(H5="Natural Ventilation",SAP!$C$24+(SAP!$C$30*'C&amp;B'!$D$19),SAP!$C$24+SAP!$C$31*'C&amp;B'!$D$19))/'C&amp;B'!$C$13</f>
        <v>4.6108556789069173</v>
      </c>
      <c r="I31" s="73">
        <f>(IF(I5="Natural Ventilation",SAP!$C$24+(SAP!$C$30*'C&amp;B'!$D$19),SAP!$C$24+SAP!$C$31*'C&amp;B'!$D$19))/'C&amp;B'!$C$13</f>
        <v>11.001947053800171</v>
      </c>
      <c r="J31" s="73">
        <f>(IF(J5="Natural Ventilation",SAP!$C$24+(SAP!$C$30*'C&amp;B'!$D$19),SAP!$C$24+SAP!$C$31*'C&amp;B'!$D$19))/'C&amp;B'!$C$13</f>
        <v>11.001947053800171</v>
      </c>
      <c r="K31" s="73">
        <f>(IF(K5="Natural Ventilation",SAP!$C$24+(SAP!$C$30*'C&amp;B'!$D$19),SAP!$C$24+SAP!$C$31*'C&amp;B'!$D$19))/'C&amp;B'!$C$13</f>
        <v>4.6108556789069173</v>
      </c>
      <c r="L31" s="73">
        <f>(IF(L5="Natural Ventilation",SAP!$C$24+(SAP!$C$30*'C&amp;B'!$D$19),SAP!$C$24+SAP!$C$31*'C&amp;B'!$D$19))/'C&amp;B'!$C$13</f>
        <v>4.6108556789069173</v>
      </c>
      <c r="M31" s="73">
        <f>(IF(M5="Natural Ventilation",SAP!$C$24+(SAP!$C$30*'C&amp;B'!$D$19),SAP!$C$24+SAP!$C$31*'C&amp;B'!$D$19))/'C&amp;B'!$C$13</f>
        <v>4.6108556789069173</v>
      </c>
      <c r="N31" s="73">
        <f>(IF(N5="Natural Ventilation",SAP!$C$24+(SAP!$C$30*'C&amp;B'!$D$19),SAP!$C$24+SAP!$C$31*'C&amp;B'!$D$19))/'C&amp;B'!$C$13</f>
        <v>4.6108556789069173</v>
      </c>
      <c r="O31" s="73">
        <f>(IF(O5="Natural Ventilation",SAP!$C$24+(SAP!$C$30*'C&amp;B'!$D$19),SAP!$C$24+SAP!$C$31*'C&amp;B'!$D$19))/'C&amp;B'!$C$13</f>
        <v>11.001947053800171</v>
      </c>
      <c r="P31" s="73">
        <f>(IF(P5="Natural Ventilation",SAP!$C$24+(SAP!$C$30*'C&amp;B'!$D$19),SAP!$C$24+SAP!$C$31*'C&amp;B'!$D$19))/'C&amp;B'!$C$13</f>
        <v>11.001947053800171</v>
      </c>
      <c r="Q31" s="73">
        <f>(IF(Q5="Natural Ventilation",SAP!$C$24+(SAP!$C$30*'C&amp;B'!$D$19),SAP!$C$24+SAP!$C$31*'C&amp;B'!$D$19))/'C&amp;B'!$C$13</f>
        <v>11.001947053800171</v>
      </c>
      <c r="R31" s="73">
        <f>(IF(R5="Natural Ventilation",SAP!$C$24+(SAP!$C$30*'C&amp;B'!$D$19),SAP!$C$24+SAP!$C$31*'C&amp;B'!$D$19))/'C&amp;B'!$C$13</f>
        <v>11.001947053800171</v>
      </c>
      <c r="S31" s="73">
        <f>(IF(S5="Natural Ventilation",SAP!$C$24+(SAP!$C$30*'C&amp;B'!$D$19),SAP!$C$24+SAP!$C$31*'C&amp;B'!$D$19))/'C&amp;B'!$C$13</f>
        <v>4.6108556789069173</v>
      </c>
      <c r="T31" s="73">
        <f>(IF(T5="Natural Ventilation",SAP!$C$24+(SAP!$C$30*'C&amp;B'!$D$19),SAP!$C$24+SAP!$C$31*'C&amp;B'!$D$19))/'C&amp;B'!$C$13</f>
        <v>4.6108556789069173</v>
      </c>
      <c r="U31" s="50"/>
      <c r="V31" s="138"/>
      <c r="W31" s="50"/>
      <c r="X31" s="50"/>
    </row>
    <row r="32" spans="2:58">
      <c r="B32" s="59" t="s">
        <v>378</v>
      </c>
      <c r="C32" s="129" t="s">
        <v>450</v>
      </c>
      <c r="D32" s="62">
        <f>SAP!F55</f>
        <v>2.3612985385563192</v>
      </c>
      <c r="E32" s="74">
        <f>D32</f>
        <v>2.3612985385563192</v>
      </c>
      <c r="F32" s="74">
        <f t="shared" ref="F32:T32" si="18">E32</f>
        <v>2.3612985385563192</v>
      </c>
      <c r="G32" s="74">
        <f t="shared" si="18"/>
        <v>2.3612985385563192</v>
      </c>
      <c r="H32" s="74">
        <f t="shared" si="18"/>
        <v>2.3612985385563192</v>
      </c>
      <c r="I32" s="74">
        <f t="shared" si="18"/>
        <v>2.3612985385563192</v>
      </c>
      <c r="J32" s="74">
        <f t="shared" si="18"/>
        <v>2.3612985385563192</v>
      </c>
      <c r="K32" s="74">
        <f t="shared" si="18"/>
        <v>2.3612985385563192</v>
      </c>
      <c r="L32" s="74">
        <f t="shared" si="18"/>
        <v>2.3612985385563192</v>
      </c>
      <c r="M32" s="74">
        <f t="shared" si="18"/>
        <v>2.3612985385563192</v>
      </c>
      <c r="N32" s="74">
        <f t="shared" si="18"/>
        <v>2.3612985385563192</v>
      </c>
      <c r="O32" s="74">
        <f t="shared" si="18"/>
        <v>2.3612985385563192</v>
      </c>
      <c r="P32" s="74">
        <f t="shared" si="18"/>
        <v>2.3612985385563192</v>
      </c>
      <c r="Q32" s="74">
        <f t="shared" si="18"/>
        <v>2.3612985385563192</v>
      </c>
      <c r="R32" s="74">
        <f t="shared" si="18"/>
        <v>2.3612985385563192</v>
      </c>
      <c r="S32" s="74">
        <f t="shared" si="18"/>
        <v>2.3612985385563192</v>
      </c>
      <c r="T32" s="74">
        <f t="shared" si="18"/>
        <v>2.3612985385563192</v>
      </c>
      <c r="U32" s="50"/>
      <c r="V32" s="138"/>
      <c r="W32" s="50"/>
      <c r="X32" s="50"/>
    </row>
    <row r="33" spans="2:24">
      <c r="B33" s="59" t="s">
        <v>379</v>
      </c>
      <c r="C33" s="129" t="s">
        <v>450</v>
      </c>
      <c r="D33" s="73">
        <f t="shared" ref="D33:T33" si="19">IF(D4="Gas",SUM(D29:D30),0)</f>
        <v>61.753447855374532</v>
      </c>
      <c r="E33" s="73">
        <f t="shared" si="19"/>
        <v>67.094972067039109</v>
      </c>
      <c r="F33" s="73">
        <f t="shared" si="19"/>
        <v>0</v>
      </c>
      <c r="G33" s="73">
        <f t="shared" si="19"/>
        <v>79.905939125094974</v>
      </c>
      <c r="H33" s="73">
        <f t="shared" si="19"/>
        <v>0</v>
      </c>
      <c r="I33" s="73">
        <f t="shared" si="19"/>
        <v>54.846446852245805</v>
      </c>
      <c r="J33" s="73">
        <f t="shared" si="19"/>
        <v>0</v>
      </c>
      <c r="K33" s="73">
        <f t="shared" si="19"/>
        <v>79.905939125094974</v>
      </c>
      <c r="L33" s="73">
        <f t="shared" si="19"/>
        <v>0</v>
      </c>
      <c r="M33" s="73">
        <f t="shared" si="19"/>
        <v>64.902312061173177</v>
      </c>
      <c r="N33" s="73">
        <f t="shared" si="19"/>
        <v>0</v>
      </c>
      <c r="O33" s="73">
        <f t="shared" si="19"/>
        <v>52.268156424581008</v>
      </c>
      <c r="P33" s="73">
        <f t="shared" si="19"/>
        <v>0</v>
      </c>
      <c r="Q33" s="73">
        <f t="shared" si="19"/>
        <v>47.340782122905026</v>
      </c>
      <c r="R33" s="73">
        <f t="shared" si="19"/>
        <v>0</v>
      </c>
      <c r="S33" s="73">
        <f t="shared" si="19"/>
        <v>0</v>
      </c>
      <c r="T33" s="73">
        <f t="shared" si="19"/>
        <v>0</v>
      </c>
      <c r="U33" s="50"/>
      <c r="V33" s="138"/>
      <c r="W33" s="50"/>
      <c r="X33" s="50"/>
    </row>
    <row r="34" spans="2:24">
      <c r="B34" s="59" t="s">
        <v>380</v>
      </c>
      <c r="C34" s="129" t="s">
        <v>450</v>
      </c>
      <c r="D34" s="73">
        <f t="shared" ref="D34:T34" si="20">IF(D4="Gas", SUM(D31:D32),SUM(D29:D32))</f>
        <v>6.9721542174632365</v>
      </c>
      <c r="E34" s="73">
        <f t="shared" si="20"/>
        <v>6.9721542174632365</v>
      </c>
      <c r="F34" s="73">
        <f t="shared" si="20"/>
        <v>28.454379281401856</v>
      </c>
      <c r="G34" s="73">
        <f t="shared" si="20"/>
        <v>6.9721542174632365</v>
      </c>
      <c r="H34" s="73">
        <f t="shared" si="20"/>
        <v>31.891383845213625</v>
      </c>
      <c r="I34" s="73">
        <f t="shared" si="20"/>
        <v>13.36324559235649</v>
      </c>
      <c r="J34" s="73">
        <f t="shared" si="20"/>
        <v>31.685932401224527</v>
      </c>
      <c r="K34" s="73">
        <f t="shared" si="20"/>
        <v>6.9721542174632365</v>
      </c>
      <c r="L34" s="73">
        <f t="shared" si="20"/>
        <v>31.891383845213625</v>
      </c>
      <c r="M34" s="73">
        <f t="shared" si="20"/>
        <v>6.9721542174632365</v>
      </c>
      <c r="N34" s="73">
        <f t="shared" si="20"/>
        <v>27.94189966221068</v>
      </c>
      <c r="O34" s="73">
        <f t="shared" si="20"/>
        <v>13.36324559235649</v>
      </c>
      <c r="P34" s="73">
        <f t="shared" si="20"/>
        <v>31.007235362177468</v>
      </c>
      <c r="Q34" s="73">
        <f t="shared" si="20"/>
        <v>13.36324559235649</v>
      </c>
      <c r="R34" s="73">
        <f t="shared" si="20"/>
        <v>29.710176538648057</v>
      </c>
      <c r="S34" s="73">
        <f t="shared" si="20"/>
        <v>26.483817233295973</v>
      </c>
      <c r="T34" s="73">
        <f t="shared" si="20"/>
        <v>30.008511634331278</v>
      </c>
      <c r="U34" s="50"/>
      <c r="V34" s="138"/>
      <c r="W34" s="50"/>
      <c r="X34" s="50"/>
    </row>
    <row r="35" spans="2:24">
      <c r="B35" s="59" t="s">
        <v>452</v>
      </c>
      <c r="C35" s="129" t="s">
        <v>450</v>
      </c>
      <c r="D35" s="73">
        <f>D26*SAP!$C$143/'C&amp;B'!$D$13</f>
        <v>28.159324482036258</v>
      </c>
      <c r="E35" s="73">
        <f>E26*SAP!$C$143/'C&amp;B'!$D$13</f>
        <v>0</v>
      </c>
      <c r="F35" s="73">
        <f>F26*SAP!$C$143/'C&amp;B'!$D$13</f>
        <v>0</v>
      </c>
      <c r="G35" s="73">
        <f>G26*SAP!$C$143/'C&amp;B'!$D$13</f>
        <v>0</v>
      </c>
      <c r="H35" s="73">
        <f>H26*SAP!$C$143/'C&amp;B'!$D$13</f>
        <v>0</v>
      </c>
      <c r="I35" s="73">
        <f>I26*SAP!$C$143/'C&amp;B'!$D$13</f>
        <v>0</v>
      </c>
      <c r="J35" s="73">
        <f>J26*SAP!$C$143/'C&amp;B'!$D$13</f>
        <v>0</v>
      </c>
      <c r="K35" s="73">
        <f>K26*SAP!$C$143/'C&amp;B'!$D$13</f>
        <v>0</v>
      </c>
      <c r="L35" s="73">
        <f>L26*SAP!$C$143/'C&amp;B'!$D$13</f>
        <v>0</v>
      </c>
      <c r="M35" s="73">
        <f>M26*SAP!$C$143/'C&amp;B'!$D$13</f>
        <v>0</v>
      </c>
      <c r="N35" s="73">
        <f>N26*SAP!$C$143/'C&amp;B'!$D$13</f>
        <v>0</v>
      </c>
      <c r="O35" s="73">
        <f>O26*SAP!$C$143/'C&amp;B'!$D$13</f>
        <v>0</v>
      </c>
      <c r="P35" s="73">
        <f>P26*SAP!$C$143/'C&amp;B'!$D$13</f>
        <v>0</v>
      </c>
      <c r="Q35" s="73">
        <f>Q26*SAP!$C$143/'C&amp;B'!$D$13</f>
        <v>0</v>
      </c>
      <c r="R35" s="73">
        <f>R26*SAP!$C$143/'C&amp;B'!$D$13</f>
        <v>0</v>
      </c>
      <c r="S35" s="73">
        <f>S26*SAP!$C$143/'C&amp;B'!$D$13</f>
        <v>0</v>
      </c>
      <c r="T35" s="73">
        <f>T26*SAP!$C$143/'C&amp;B'!$D$13</f>
        <v>0</v>
      </c>
      <c r="U35" s="50"/>
      <c r="V35" s="138"/>
      <c r="W35" s="50"/>
      <c r="X35" s="50"/>
    </row>
    <row r="36" spans="2:24">
      <c r="B36" s="59" t="s">
        <v>448</v>
      </c>
      <c r="C36" s="129" t="s">
        <v>451</v>
      </c>
      <c r="D36" s="73">
        <f>D33*SAP!$C$6</f>
        <v>12.968224049628651</v>
      </c>
      <c r="E36" s="73">
        <f>E33*SAP!$C$6</f>
        <v>14.089944134078213</v>
      </c>
      <c r="F36" s="73">
        <f>F33*SAP!$C$6</f>
        <v>0</v>
      </c>
      <c r="G36" s="73">
        <f>G33*SAP!$C$6</f>
        <v>16.780247216269945</v>
      </c>
      <c r="H36" s="73">
        <f>H33*SAP!$C$6</f>
        <v>0</v>
      </c>
      <c r="I36" s="73">
        <f>I33*SAP!$C$6</f>
        <v>11.517753838971618</v>
      </c>
      <c r="J36" s="73">
        <f>J33*SAP!$C$6</f>
        <v>0</v>
      </c>
      <c r="K36" s="73">
        <f>K33*SAP!$C$6</f>
        <v>16.780247216269945</v>
      </c>
      <c r="L36" s="73">
        <f>L33*SAP!$C$6</f>
        <v>0</v>
      </c>
      <c r="M36" s="73">
        <f>M33*SAP!$C$6</f>
        <v>13.629485532846367</v>
      </c>
      <c r="N36" s="73">
        <f>N33*SAP!$C$6</f>
        <v>0</v>
      </c>
      <c r="O36" s="73">
        <f>O33*SAP!$C$6</f>
        <v>10.976312849162012</v>
      </c>
      <c r="P36" s="73">
        <f>P33*SAP!$C$6</f>
        <v>0</v>
      </c>
      <c r="Q36" s="73">
        <f>Q33*SAP!$C$6</f>
        <v>9.9415642458100546</v>
      </c>
      <c r="R36" s="73">
        <f>R33*SAP!$C$6</f>
        <v>0</v>
      </c>
      <c r="S36" s="73">
        <f>S33*SAP!$C$6</f>
        <v>0</v>
      </c>
      <c r="T36" s="73">
        <f>T33*SAP!$C$6</f>
        <v>0</v>
      </c>
    </row>
    <row r="37" spans="2:24">
      <c r="B37" s="59" t="s">
        <v>453</v>
      </c>
      <c r="C37" s="129" t="s">
        <v>451</v>
      </c>
      <c r="D37" s="73">
        <f>D34*SAP!$C$9</f>
        <v>0.94821297357500023</v>
      </c>
      <c r="E37" s="73">
        <f>E34*SAP!$C$9</f>
        <v>0.94821297357500023</v>
      </c>
      <c r="F37" s="73">
        <f>F34*SAP!$C$9</f>
        <v>3.8697955822706529</v>
      </c>
      <c r="G37" s="73">
        <f>G34*SAP!$C$9</f>
        <v>0.94821297357500023</v>
      </c>
      <c r="H37" s="73">
        <f>H34*SAP!$C$9</f>
        <v>4.3372282029490536</v>
      </c>
      <c r="I37" s="73">
        <f>I34*SAP!$C$9</f>
        <v>1.8174014005604828</v>
      </c>
      <c r="J37" s="73">
        <f>J34*SAP!$C$9</f>
        <v>4.3092868065665355</v>
      </c>
      <c r="K37" s="73">
        <f>K34*SAP!$C$9</f>
        <v>0.94821297357500023</v>
      </c>
      <c r="L37" s="73">
        <f>L34*SAP!$C$9</f>
        <v>4.3372282029490536</v>
      </c>
      <c r="M37" s="73">
        <f>M34*SAP!$C$9</f>
        <v>0.94821297357500023</v>
      </c>
      <c r="N37" s="73">
        <f>N34*SAP!$C$9</f>
        <v>3.800098354060653</v>
      </c>
      <c r="O37" s="73">
        <f>O34*SAP!$C$9</f>
        <v>1.8174014005604828</v>
      </c>
      <c r="P37" s="73">
        <f>P34*SAP!$C$9</f>
        <v>4.2169840092561364</v>
      </c>
      <c r="Q37" s="73">
        <f>Q34*SAP!$C$9</f>
        <v>1.8174014005604828</v>
      </c>
      <c r="R37" s="73">
        <f>R34*SAP!$C$9</f>
        <v>4.0405840092561363</v>
      </c>
      <c r="S37" s="73">
        <f>S34*SAP!$C$9</f>
        <v>3.6017991437282526</v>
      </c>
      <c r="T37" s="73">
        <f>T34*SAP!$C$9</f>
        <v>4.0811575822690545</v>
      </c>
    </row>
    <row r="38" spans="2:24">
      <c r="B38" s="59" t="s">
        <v>454</v>
      </c>
      <c r="C38" s="129" t="s">
        <v>451</v>
      </c>
      <c r="D38" s="73">
        <f>-D35*SAP!$C$10</f>
        <v>-3.8296681295569313</v>
      </c>
      <c r="E38" s="73">
        <f>-E35*SAP!$C$10</f>
        <v>0</v>
      </c>
      <c r="F38" s="73">
        <f>-F35*SAP!$C$10</f>
        <v>0</v>
      </c>
      <c r="G38" s="73">
        <f>-G35*SAP!$C$10</f>
        <v>0</v>
      </c>
      <c r="H38" s="73">
        <f>-H35*SAP!$C$10</f>
        <v>0</v>
      </c>
      <c r="I38" s="73">
        <f>-I35*SAP!$C$10</f>
        <v>0</v>
      </c>
      <c r="J38" s="73">
        <f>-J35*SAP!$C$10</f>
        <v>0</v>
      </c>
      <c r="K38" s="73">
        <f>-K35*SAP!$C$10</f>
        <v>0</v>
      </c>
      <c r="L38" s="73">
        <f>-L35*SAP!$C$10</f>
        <v>0</v>
      </c>
      <c r="M38" s="73">
        <f>-M35*SAP!$C$10</f>
        <v>0</v>
      </c>
      <c r="N38" s="73">
        <f>-N35*SAP!$C$10</f>
        <v>0</v>
      </c>
      <c r="O38" s="73">
        <f>-O35*SAP!$C$10</f>
        <v>0</v>
      </c>
      <c r="P38" s="73">
        <f>-P35*SAP!$C$10</f>
        <v>0</v>
      </c>
      <c r="Q38" s="73">
        <f>-Q35*SAP!$C$10</f>
        <v>0</v>
      </c>
      <c r="R38" s="73">
        <f>-R35*SAP!$C$10</f>
        <v>0</v>
      </c>
      <c r="S38" s="73">
        <f>-S35*SAP!$C$10</f>
        <v>0</v>
      </c>
      <c r="T38" s="73">
        <f>-T35*SAP!$C$10</f>
        <v>0</v>
      </c>
    </row>
    <row r="39" spans="2:24">
      <c r="B39" s="59" t="s">
        <v>449</v>
      </c>
      <c r="C39" s="129" t="s">
        <v>451</v>
      </c>
      <c r="D39" s="73">
        <f>D36+D37+D38</f>
        <v>10.08676889364672</v>
      </c>
      <c r="E39" s="73">
        <f t="shared" ref="E39:T39" si="21">E36+E37+E38</f>
        <v>15.038157107653213</v>
      </c>
      <c r="F39" s="73">
        <f t="shared" si="21"/>
        <v>3.8697955822706529</v>
      </c>
      <c r="G39" s="73">
        <f t="shared" si="21"/>
        <v>17.728460189844945</v>
      </c>
      <c r="H39" s="73">
        <f t="shared" si="21"/>
        <v>4.3372282029490536</v>
      </c>
      <c r="I39" s="73">
        <f t="shared" si="21"/>
        <v>13.335155239532101</v>
      </c>
      <c r="J39" s="73">
        <f t="shared" si="21"/>
        <v>4.3092868065665355</v>
      </c>
      <c r="K39" s="73">
        <f t="shared" si="21"/>
        <v>17.728460189844945</v>
      </c>
      <c r="L39" s="73">
        <f t="shared" si="21"/>
        <v>4.3372282029490536</v>
      </c>
      <c r="M39" s="73">
        <f t="shared" si="21"/>
        <v>14.577698506421367</v>
      </c>
      <c r="N39" s="73">
        <f t="shared" si="21"/>
        <v>3.800098354060653</v>
      </c>
      <c r="O39" s="73">
        <f t="shared" si="21"/>
        <v>12.793714249722495</v>
      </c>
      <c r="P39" s="73">
        <f t="shared" si="21"/>
        <v>4.2169840092561364</v>
      </c>
      <c r="Q39" s="73">
        <f t="shared" si="21"/>
        <v>11.758965646370537</v>
      </c>
      <c r="R39" s="73">
        <f t="shared" si="21"/>
        <v>4.0405840092561363</v>
      </c>
      <c r="S39" s="73">
        <f t="shared" si="21"/>
        <v>3.6017991437282526</v>
      </c>
      <c r="T39" s="73">
        <f t="shared" si="21"/>
        <v>4.0811575822690545</v>
      </c>
    </row>
    <row r="40" spans="2:24">
      <c r="B40" s="59" t="s">
        <v>731</v>
      </c>
      <c r="C40" s="71" t="s">
        <v>609</v>
      </c>
      <c r="D40" s="148">
        <f>IF(ISNUMBER(AP97),AP97,"Not Possible")</f>
        <v>8578.923076923078</v>
      </c>
      <c r="E40" s="148">
        <f t="shared" ref="E40:T46" si="22">IF(ISNUMBER(AQ97),AQ97,"Not Possible")</f>
        <v>8214.4000757317772</v>
      </c>
      <c r="F40" s="148">
        <f t="shared" si="22"/>
        <v>210</v>
      </c>
      <c r="G40" s="148" t="str">
        <f t="shared" si="22"/>
        <v>Not Possible</v>
      </c>
      <c r="H40" s="148">
        <f t="shared" si="22"/>
        <v>0</v>
      </c>
      <c r="I40" s="148">
        <f t="shared" si="22"/>
        <v>8659.942355691499</v>
      </c>
      <c r="J40" s="148">
        <f t="shared" si="22"/>
        <v>1355</v>
      </c>
      <c r="K40" s="148" t="str">
        <f t="shared" si="22"/>
        <v>Not Possible</v>
      </c>
      <c r="L40" s="148">
        <f t="shared" si="22"/>
        <v>0</v>
      </c>
      <c r="M40" s="148">
        <f t="shared" si="22"/>
        <v>8443.2803046854315</v>
      </c>
      <c r="N40" s="148">
        <f t="shared" si="22"/>
        <v>628</v>
      </c>
      <c r="O40" s="148">
        <f t="shared" si="22"/>
        <v>8437.561460310324</v>
      </c>
      <c r="P40" s="148">
        <f t="shared" si="22"/>
        <v>1355</v>
      </c>
      <c r="Q40" s="148">
        <f t="shared" si="22"/>
        <v>8338.5690322550727</v>
      </c>
      <c r="R40" s="148">
        <f t="shared" si="22"/>
        <v>1681</v>
      </c>
      <c r="S40" s="148">
        <f t="shared" si="22"/>
        <v>1154</v>
      </c>
      <c r="T40" s="148">
        <f t="shared" si="22"/>
        <v>0</v>
      </c>
    </row>
    <row r="41" spans="2:24">
      <c r="B41" s="59" t="s">
        <v>731</v>
      </c>
      <c r="C41" s="71" t="s">
        <v>610</v>
      </c>
      <c r="D41" s="148">
        <f t="shared" ref="D41:M46" si="23">IF(ISNUMBER(AP98),AP98,"Not Possible")</f>
        <v>8726.5945616686076</v>
      </c>
      <c r="E41" s="148">
        <f t="shared" si="22"/>
        <v>8658.3079569264155</v>
      </c>
      <c r="F41" s="148">
        <f t="shared" si="22"/>
        <v>210</v>
      </c>
      <c r="G41" s="148" t="str">
        <f t="shared" si="22"/>
        <v>Not Possible</v>
      </c>
      <c r="H41" s="148">
        <f t="shared" si="22"/>
        <v>0</v>
      </c>
      <c r="I41" s="148">
        <f t="shared" si="22"/>
        <v>9103.8502368861373</v>
      </c>
      <c r="J41" s="148">
        <f t="shared" si="22"/>
        <v>1355</v>
      </c>
      <c r="K41" s="148" t="str">
        <f t="shared" si="22"/>
        <v>Not Possible</v>
      </c>
      <c r="L41" s="148">
        <f t="shared" si="22"/>
        <v>0</v>
      </c>
      <c r="M41" s="148">
        <f t="shared" si="22"/>
        <v>8887.1881858800771</v>
      </c>
      <c r="N41" s="148">
        <f t="shared" si="22"/>
        <v>628</v>
      </c>
      <c r="O41" s="148">
        <f t="shared" si="22"/>
        <v>8881.4693415049696</v>
      </c>
      <c r="P41" s="148">
        <f t="shared" si="22"/>
        <v>1355</v>
      </c>
      <c r="Q41" s="148">
        <f t="shared" si="22"/>
        <v>8782.4769134497183</v>
      </c>
      <c r="R41" s="148">
        <f t="shared" si="22"/>
        <v>1681</v>
      </c>
      <c r="S41" s="148">
        <f t="shared" si="22"/>
        <v>1154</v>
      </c>
      <c r="T41" s="148">
        <f t="shared" si="22"/>
        <v>0</v>
      </c>
    </row>
    <row r="42" spans="2:24">
      <c r="B42" s="59" t="s">
        <v>731</v>
      </c>
      <c r="C42" s="71" t="s">
        <v>611</v>
      </c>
      <c r="D42" s="148">
        <f t="shared" si="23"/>
        <v>9170.502442863246</v>
      </c>
      <c r="E42" s="148" t="str">
        <f t="shared" si="22"/>
        <v>Not Possible</v>
      </c>
      <c r="F42" s="148">
        <f t="shared" si="22"/>
        <v>210</v>
      </c>
      <c r="G42" s="148" t="str">
        <f t="shared" si="22"/>
        <v>Not Possible</v>
      </c>
      <c r="H42" s="148">
        <f t="shared" si="22"/>
        <v>0</v>
      </c>
      <c r="I42" s="148">
        <f t="shared" si="22"/>
        <v>9547.7581180807829</v>
      </c>
      <c r="J42" s="148">
        <f t="shared" si="22"/>
        <v>1355</v>
      </c>
      <c r="K42" s="148" t="str">
        <f t="shared" si="22"/>
        <v>Not Possible</v>
      </c>
      <c r="L42" s="148">
        <f t="shared" si="22"/>
        <v>0</v>
      </c>
      <c r="M42" s="148">
        <f t="shared" si="22"/>
        <v>10261.176122970319</v>
      </c>
      <c r="N42" s="148">
        <f t="shared" si="22"/>
        <v>628</v>
      </c>
      <c r="O42" s="148">
        <f t="shared" si="22"/>
        <v>9325.3772226996152</v>
      </c>
      <c r="P42" s="148">
        <f t="shared" si="22"/>
        <v>1355</v>
      </c>
      <c r="Q42" s="148">
        <f t="shared" si="22"/>
        <v>9226.3847946443639</v>
      </c>
      <c r="R42" s="148">
        <f t="shared" si="22"/>
        <v>1681</v>
      </c>
      <c r="S42" s="148">
        <f t="shared" si="22"/>
        <v>1154</v>
      </c>
      <c r="T42" s="148">
        <f t="shared" si="22"/>
        <v>0</v>
      </c>
    </row>
    <row r="43" spans="2:24">
      <c r="B43" s="59" t="s">
        <v>731</v>
      </c>
      <c r="C43" s="71" t="s">
        <v>612</v>
      </c>
      <c r="D43" s="148" t="str">
        <f t="shared" si="23"/>
        <v>Not Possible</v>
      </c>
      <c r="E43" s="148" t="str">
        <f t="shared" si="22"/>
        <v>Not Possible</v>
      </c>
      <c r="F43" s="148">
        <f t="shared" si="22"/>
        <v>210</v>
      </c>
      <c r="G43" s="148" t="str">
        <f t="shared" si="22"/>
        <v>Not Possible</v>
      </c>
      <c r="H43" s="148">
        <f t="shared" si="22"/>
        <v>0</v>
      </c>
      <c r="I43" s="148">
        <f t="shared" si="22"/>
        <v>9991.6659992754285</v>
      </c>
      <c r="J43" s="148">
        <f t="shared" si="22"/>
        <v>1355</v>
      </c>
      <c r="K43" s="148" t="str">
        <f t="shared" si="22"/>
        <v>Not Possible</v>
      </c>
      <c r="L43" s="148">
        <f t="shared" si="22"/>
        <v>0</v>
      </c>
      <c r="M43" s="148" t="str">
        <f t="shared" si="22"/>
        <v>Not Possible</v>
      </c>
      <c r="N43" s="148">
        <f t="shared" si="22"/>
        <v>628</v>
      </c>
      <c r="O43" s="148">
        <f t="shared" si="22"/>
        <v>9769.2851038942608</v>
      </c>
      <c r="P43" s="148">
        <f t="shared" si="22"/>
        <v>1355</v>
      </c>
      <c r="Q43" s="148">
        <f t="shared" si="22"/>
        <v>9670.2926758390095</v>
      </c>
      <c r="R43" s="148">
        <f t="shared" si="22"/>
        <v>1681</v>
      </c>
      <c r="S43" s="148">
        <f t="shared" si="22"/>
        <v>1154</v>
      </c>
      <c r="T43" s="148">
        <f t="shared" si="22"/>
        <v>0</v>
      </c>
    </row>
    <row r="44" spans="2:24">
      <c r="B44" s="59" t="s">
        <v>731</v>
      </c>
      <c r="C44" s="71" t="s">
        <v>613</v>
      </c>
      <c r="D44" s="148" t="str">
        <f t="shared" si="23"/>
        <v>Not Possible</v>
      </c>
      <c r="E44" s="148" t="str">
        <f t="shared" si="23"/>
        <v>Not Possible</v>
      </c>
      <c r="F44" s="148">
        <f t="shared" si="23"/>
        <v>210</v>
      </c>
      <c r="G44" s="148" t="str">
        <f t="shared" si="23"/>
        <v>Not Possible</v>
      </c>
      <c r="H44" s="148">
        <f t="shared" si="23"/>
        <v>0</v>
      </c>
      <c r="I44" s="148" t="str">
        <f t="shared" si="23"/>
        <v>Not Possible</v>
      </c>
      <c r="J44" s="148">
        <f t="shared" si="23"/>
        <v>1355</v>
      </c>
      <c r="K44" s="148" t="str">
        <f t="shared" si="23"/>
        <v>Not Possible</v>
      </c>
      <c r="L44" s="148">
        <f t="shared" si="23"/>
        <v>0</v>
      </c>
      <c r="M44" s="148" t="str">
        <f t="shared" si="23"/>
        <v>Not Possible</v>
      </c>
      <c r="N44" s="148">
        <f t="shared" si="22"/>
        <v>628</v>
      </c>
      <c r="O44" s="148" t="str">
        <f t="shared" si="22"/>
        <v>Not Possible</v>
      </c>
      <c r="P44" s="148">
        <f t="shared" si="22"/>
        <v>1355</v>
      </c>
      <c r="Q44" s="148">
        <f t="shared" si="22"/>
        <v>10114.200557033655</v>
      </c>
      <c r="R44" s="148">
        <f t="shared" si="22"/>
        <v>1681</v>
      </c>
      <c r="S44" s="148">
        <f t="shared" si="22"/>
        <v>1154</v>
      </c>
      <c r="T44" s="148">
        <f t="shared" si="22"/>
        <v>0</v>
      </c>
    </row>
    <row r="45" spans="2:24">
      <c r="B45" s="59" t="s">
        <v>731</v>
      </c>
      <c r="C45" s="71" t="s">
        <v>614</v>
      </c>
      <c r="D45" s="148" t="str">
        <f t="shared" si="23"/>
        <v>Not Possible</v>
      </c>
      <c r="E45" s="148" t="str">
        <f t="shared" si="23"/>
        <v>Not Possible</v>
      </c>
      <c r="F45" s="148">
        <f t="shared" si="23"/>
        <v>210</v>
      </c>
      <c r="G45" s="148" t="str">
        <f t="shared" si="23"/>
        <v>Not Possible</v>
      </c>
      <c r="H45" s="148">
        <f t="shared" si="23"/>
        <v>0</v>
      </c>
      <c r="I45" s="148" t="str">
        <f t="shared" si="23"/>
        <v>Not Possible</v>
      </c>
      <c r="J45" s="148">
        <f t="shared" si="23"/>
        <v>1355</v>
      </c>
      <c r="K45" s="148" t="str">
        <f t="shared" si="23"/>
        <v>Not Possible</v>
      </c>
      <c r="L45" s="148">
        <f t="shared" si="23"/>
        <v>0</v>
      </c>
      <c r="M45" s="148" t="str">
        <f t="shared" si="23"/>
        <v>Not Possible</v>
      </c>
      <c r="N45" s="148">
        <f t="shared" si="22"/>
        <v>628</v>
      </c>
      <c r="O45" s="148" t="str">
        <f t="shared" si="22"/>
        <v>Not Possible</v>
      </c>
      <c r="P45" s="148">
        <f t="shared" si="22"/>
        <v>1355</v>
      </c>
      <c r="Q45" s="148" t="str">
        <f t="shared" si="22"/>
        <v>Not Possible</v>
      </c>
      <c r="R45" s="148">
        <f t="shared" si="22"/>
        <v>1681</v>
      </c>
      <c r="S45" s="148">
        <f t="shared" si="22"/>
        <v>1154</v>
      </c>
      <c r="T45" s="148">
        <f t="shared" si="22"/>
        <v>0</v>
      </c>
    </row>
    <row r="46" spans="2:24">
      <c r="B46" s="59" t="s">
        <v>731</v>
      </c>
      <c r="C46" s="71" t="s">
        <v>615</v>
      </c>
      <c r="D46" s="148" t="str">
        <f t="shared" si="23"/>
        <v>Not Possible</v>
      </c>
      <c r="E46" s="148" t="str">
        <f t="shared" si="23"/>
        <v>Not Possible</v>
      </c>
      <c r="F46" s="148">
        <f t="shared" si="23"/>
        <v>2899.4042429814144</v>
      </c>
      <c r="G46" s="148" t="str">
        <f t="shared" si="23"/>
        <v>Not Possible</v>
      </c>
      <c r="H46" s="148">
        <f t="shared" si="23"/>
        <v>2881.38838654133</v>
      </c>
      <c r="I46" s="148" t="str">
        <f t="shared" si="23"/>
        <v>Not Possible</v>
      </c>
      <c r="J46" s="148">
        <f t="shared" si="23"/>
        <v>4224.9122832120847</v>
      </c>
      <c r="K46" s="148" t="str">
        <f t="shared" si="23"/>
        <v>Not Possible</v>
      </c>
      <c r="L46" s="148">
        <f t="shared" si="23"/>
        <v>2881.38838654133</v>
      </c>
      <c r="M46" s="148" t="str">
        <f t="shared" si="23"/>
        <v>Not Possible</v>
      </c>
      <c r="N46" s="148">
        <f t="shared" si="22"/>
        <v>3288.7781649661993</v>
      </c>
      <c r="O46" s="148" t="str">
        <f t="shared" si="22"/>
        <v>Not Possible</v>
      </c>
      <c r="P46" s="148">
        <f t="shared" si="22"/>
        <v>4187.0016353328174</v>
      </c>
      <c r="Q46" s="148" t="str">
        <f t="shared" si="22"/>
        <v>Not Possible</v>
      </c>
      <c r="R46" s="148">
        <f t="shared" si="22"/>
        <v>4440.5505452167308</v>
      </c>
      <c r="S46" s="148">
        <f t="shared" si="22"/>
        <v>3733.3326209880724</v>
      </c>
      <c r="T46" s="148">
        <f t="shared" si="22"/>
        <v>2776.2149420120295</v>
      </c>
    </row>
    <row r="47" spans="2:24">
      <c r="B47" s="59" t="s">
        <v>732</v>
      </c>
      <c r="C47" s="71" t="s">
        <v>609</v>
      </c>
      <c r="D47" s="148" t="str">
        <f t="shared" ref="D47:S53" si="24">IF(ISNUMBER(AP106),AP106,"Not Possible")</f>
        <v>Not Possible</v>
      </c>
      <c r="E47" s="148" t="str">
        <f t="shared" si="24"/>
        <v>Not Possible</v>
      </c>
      <c r="F47" s="148">
        <f t="shared" si="24"/>
        <v>709.10493100771055</v>
      </c>
      <c r="G47" s="148" t="str">
        <f t="shared" si="24"/>
        <v>Not Possible</v>
      </c>
      <c r="H47" s="148">
        <f t="shared" si="24"/>
        <v>691.08907456762608</v>
      </c>
      <c r="I47" s="148" t="str">
        <f t="shared" si="24"/>
        <v>Not Possible</v>
      </c>
      <c r="J47" s="148">
        <f t="shared" si="24"/>
        <v>2034.6129712383809</v>
      </c>
      <c r="K47" s="148" t="str">
        <f t="shared" si="24"/>
        <v>Not Possible</v>
      </c>
      <c r="L47" s="148">
        <f t="shared" si="24"/>
        <v>691.08907456762608</v>
      </c>
      <c r="M47" s="148" t="str">
        <f t="shared" si="24"/>
        <v>Not Possible</v>
      </c>
      <c r="N47" s="148">
        <f t="shared" si="24"/>
        <v>0</v>
      </c>
      <c r="O47" s="148" t="str">
        <f t="shared" si="24"/>
        <v>Not Possible</v>
      </c>
      <c r="P47" s="148">
        <f t="shared" si="24"/>
        <v>1996.7023233591135</v>
      </c>
      <c r="Q47" s="148" t="str">
        <f t="shared" si="24"/>
        <v>Not Possible</v>
      </c>
      <c r="R47" s="148">
        <f t="shared" si="24"/>
        <v>2250.2512332430269</v>
      </c>
      <c r="S47" s="148">
        <f t="shared" si="24"/>
        <v>526</v>
      </c>
      <c r="T47" s="148">
        <f t="shared" ref="E47:T53" si="25">IF(ISNUMBER(BF106),BF106,"Not Possible")</f>
        <v>531.91563003832562</v>
      </c>
    </row>
    <row r="48" spans="2:24">
      <c r="B48" s="59" t="s">
        <v>732</v>
      </c>
      <c r="C48" s="71" t="s">
        <v>610</v>
      </c>
      <c r="D48" s="148" t="str">
        <f t="shared" si="24"/>
        <v>Not Possible</v>
      </c>
      <c r="E48" s="148" t="str">
        <f t="shared" si="25"/>
        <v>Not Possible</v>
      </c>
      <c r="F48" s="148">
        <f t="shared" si="25"/>
        <v>865.33486220508348</v>
      </c>
      <c r="G48" s="148" t="str">
        <f t="shared" si="25"/>
        <v>Not Possible</v>
      </c>
      <c r="H48" s="148">
        <f t="shared" si="25"/>
        <v>847.31900576499538</v>
      </c>
      <c r="I48" s="148" t="str">
        <f t="shared" si="25"/>
        <v>Not Possible</v>
      </c>
      <c r="J48" s="148">
        <f t="shared" si="25"/>
        <v>2190.8429024357501</v>
      </c>
      <c r="K48" s="148" t="str">
        <f t="shared" si="25"/>
        <v>Not Possible</v>
      </c>
      <c r="L48" s="148">
        <f t="shared" si="25"/>
        <v>847.31900576499538</v>
      </c>
      <c r="M48" s="148" t="str">
        <f t="shared" si="25"/>
        <v>Not Possible</v>
      </c>
      <c r="N48" s="148">
        <f t="shared" si="25"/>
        <v>1254.7087841898647</v>
      </c>
      <c r="O48" s="148" t="str">
        <f t="shared" si="25"/>
        <v>Not Possible</v>
      </c>
      <c r="P48" s="148">
        <f t="shared" si="25"/>
        <v>2152.9322545564828</v>
      </c>
      <c r="Q48" s="148" t="str">
        <f t="shared" si="25"/>
        <v>Not Possible</v>
      </c>
      <c r="R48" s="148">
        <f t="shared" si="25"/>
        <v>2406.4811644403999</v>
      </c>
      <c r="S48" s="148">
        <f t="shared" si="25"/>
        <v>1699.2632402117415</v>
      </c>
      <c r="T48" s="148">
        <f t="shared" si="25"/>
        <v>688.14556123569491</v>
      </c>
    </row>
    <row r="49" spans="2:60">
      <c r="B49" s="59" t="s">
        <v>732</v>
      </c>
      <c r="C49" s="71" t="s">
        <v>611</v>
      </c>
      <c r="D49" s="148" t="str">
        <f t="shared" si="24"/>
        <v>Not Possible</v>
      </c>
      <c r="E49" s="148" t="str">
        <f t="shared" si="25"/>
        <v>Not Possible</v>
      </c>
      <c r="F49" s="148">
        <f t="shared" si="25"/>
        <v>1021.5647934024528</v>
      </c>
      <c r="G49" s="148" t="str">
        <f t="shared" si="25"/>
        <v>Not Possible</v>
      </c>
      <c r="H49" s="148">
        <f t="shared" si="25"/>
        <v>1003.5489369623683</v>
      </c>
      <c r="I49" s="148" t="str">
        <f t="shared" si="25"/>
        <v>Not Possible</v>
      </c>
      <c r="J49" s="148">
        <f t="shared" si="25"/>
        <v>2347.0728336331194</v>
      </c>
      <c r="K49" s="148" t="str">
        <f t="shared" si="25"/>
        <v>Not Possible</v>
      </c>
      <c r="L49" s="148">
        <f t="shared" si="25"/>
        <v>1003.5489369623683</v>
      </c>
      <c r="M49" s="148" t="str">
        <f t="shared" si="25"/>
        <v>Not Possible</v>
      </c>
      <c r="N49" s="148">
        <f t="shared" si="25"/>
        <v>1410.9387153872376</v>
      </c>
      <c r="O49" s="148" t="str">
        <f t="shared" si="25"/>
        <v>Not Possible</v>
      </c>
      <c r="P49" s="148">
        <f t="shared" si="25"/>
        <v>2309.1621857538557</v>
      </c>
      <c r="Q49" s="148" t="str">
        <f t="shared" si="25"/>
        <v>Not Possible</v>
      </c>
      <c r="R49" s="148">
        <f t="shared" si="25"/>
        <v>2562.7110956377692</v>
      </c>
      <c r="S49" s="148">
        <f t="shared" si="25"/>
        <v>1855.4931714091108</v>
      </c>
      <c r="T49" s="148">
        <f t="shared" si="25"/>
        <v>844.37549243306785</v>
      </c>
    </row>
    <row r="50" spans="2:60">
      <c r="B50" s="59" t="s">
        <v>732</v>
      </c>
      <c r="C50" s="71" t="s">
        <v>612</v>
      </c>
      <c r="D50" s="148" t="str">
        <f t="shared" si="24"/>
        <v>Not Possible</v>
      </c>
      <c r="E50" s="148" t="str">
        <f t="shared" si="25"/>
        <v>Not Possible</v>
      </c>
      <c r="F50" s="148">
        <f t="shared" si="25"/>
        <v>1177.7947245998221</v>
      </c>
      <c r="G50" s="148" t="str">
        <f t="shared" si="25"/>
        <v>Not Possible</v>
      </c>
      <c r="H50" s="148">
        <f t="shared" si="25"/>
        <v>1159.7788681597376</v>
      </c>
      <c r="I50" s="148" t="str">
        <f t="shared" si="25"/>
        <v>Not Possible</v>
      </c>
      <c r="J50" s="148">
        <f t="shared" si="25"/>
        <v>2503.3027648304924</v>
      </c>
      <c r="K50" s="148" t="str">
        <f t="shared" si="25"/>
        <v>Not Possible</v>
      </c>
      <c r="L50" s="148">
        <f t="shared" si="25"/>
        <v>1159.7788681597376</v>
      </c>
      <c r="M50" s="148" t="str">
        <f t="shared" si="25"/>
        <v>Not Possible</v>
      </c>
      <c r="N50" s="148">
        <f t="shared" si="25"/>
        <v>1567.1686465846069</v>
      </c>
      <c r="O50" s="148" t="str">
        <f t="shared" si="25"/>
        <v>Not Possible</v>
      </c>
      <c r="P50" s="148">
        <f t="shared" si="25"/>
        <v>2465.392116951225</v>
      </c>
      <c r="Q50" s="148" t="str">
        <f t="shared" si="25"/>
        <v>Not Possible</v>
      </c>
      <c r="R50" s="148">
        <f t="shared" si="25"/>
        <v>2718.9410268351385</v>
      </c>
      <c r="S50" s="148">
        <f t="shared" si="25"/>
        <v>2011.7231026064801</v>
      </c>
      <c r="T50" s="148">
        <f t="shared" si="25"/>
        <v>1000.6054236304371</v>
      </c>
    </row>
    <row r="51" spans="2:60">
      <c r="B51" s="59" t="s">
        <v>732</v>
      </c>
      <c r="C51" s="71" t="s">
        <v>613</v>
      </c>
      <c r="D51" s="148" t="str">
        <f t="shared" si="24"/>
        <v>Not Possible</v>
      </c>
      <c r="E51" s="148" t="str">
        <f t="shared" si="25"/>
        <v>Not Possible</v>
      </c>
      <c r="F51" s="148">
        <f t="shared" si="25"/>
        <v>1334.0246557971914</v>
      </c>
      <c r="G51" s="148" t="str">
        <f t="shared" si="25"/>
        <v>Not Possible</v>
      </c>
      <c r="H51" s="148">
        <f t="shared" si="25"/>
        <v>1316.0087993571069</v>
      </c>
      <c r="I51" s="148" t="str">
        <f t="shared" si="25"/>
        <v>Not Possible</v>
      </c>
      <c r="J51" s="148">
        <f t="shared" si="25"/>
        <v>2659.5326960278617</v>
      </c>
      <c r="K51" s="148" t="str">
        <f t="shared" si="25"/>
        <v>Not Possible</v>
      </c>
      <c r="L51" s="148">
        <f t="shared" si="25"/>
        <v>1316.0087993571069</v>
      </c>
      <c r="M51" s="148" t="str">
        <f t="shared" si="25"/>
        <v>Not Possible</v>
      </c>
      <c r="N51" s="148">
        <f t="shared" si="25"/>
        <v>1723.3985777819762</v>
      </c>
      <c r="O51" s="148" t="str">
        <f t="shared" si="25"/>
        <v>Not Possible</v>
      </c>
      <c r="P51" s="148">
        <f t="shared" si="25"/>
        <v>2621.6220481485943</v>
      </c>
      <c r="Q51" s="148" t="str">
        <f t="shared" si="25"/>
        <v>Not Possible</v>
      </c>
      <c r="R51" s="148">
        <f t="shared" si="25"/>
        <v>2875.1709580325114</v>
      </c>
      <c r="S51" s="148">
        <f t="shared" si="25"/>
        <v>2167.953033803853</v>
      </c>
      <c r="T51" s="148">
        <f t="shared" si="25"/>
        <v>1156.8353548278064</v>
      </c>
    </row>
    <row r="52" spans="2:60">
      <c r="B52" s="59" t="s">
        <v>732</v>
      </c>
      <c r="C52" s="71" t="s">
        <v>614</v>
      </c>
      <c r="D52" s="148" t="str">
        <f t="shared" si="24"/>
        <v>Not Possible</v>
      </c>
      <c r="E52" s="148" t="str">
        <f t="shared" si="25"/>
        <v>Not Possible</v>
      </c>
      <c r="F52" s="148">
        <f t="shared" si="25"/>
        <v>1490.2545869945643</v>
      </c>
      <c r="G52" s="148" t="str">
        <f t="shared" si="25"/>
        <v>Not Possible</v>
      </c>
      <c r="H52" s="148">
        <f t="shared" si="25"/>
        <v>1472.2387305544762</v>
      </c>
      <c r="I52" s="148" t="str">
        <f t="shared" si="25"/>
        <v>Not Possible</v>
      </c>
      <c r="J52" s="148">
        <f t="shared" si="25"/>
        <v>2815.762627225231</v>
      </c>
      <c r="K52" s="148" t="str">
        <f t="shared" si="25"/>
        <v>Not Possible</v>
      </c>
      <c r="L52" s="148">
        <f t="shared" si="25"/>
        <v>1472.2387305544762</v>
      </c>
      <c r="M52" s="148" t="str">
        <f t="shared" si="25"/>
        <v>Not Possible</v>
      </c>
      <c r="N52" s="148">
        <f t="shared" si="25"/>
        <v>1879.6285089793455</v>
      </c>
      <c r="O52" s="148" t="str">
        <f t="shared" si="25"/>
        <v>Not Possible</v>
      </c>
      <c r="P52" s="148">
        <f t="shared" si="25"/>
        <v>2777.8519793459636</v>
      </c>
      <c r="Q52" s="148" t="str">
        <f t="shared" si="25"/>
        <v>Not Possible</v>
      </c>
      <c r="R52" s="148">
        <f t="shared" si="25"/>
        <v>3031.4008892298807</v>
      </c>
      <c r="S52" s="148">
        <f t="shared" si="25"/>
        <v>2324.1829650012223</v>
      </c>
      <c r="T52" s="148">
        <f t="shared" si="25"/>
        <v>1313.0652860251794</v>
      </c>
    </row>
    <row r="53" spans="2:60">
      <c r="B53" s="59" t="s">
        <v>732</v>
      </c>
      <c r="C53" s="71" t="s">
        <v>615</v>
      </c>
      <c r="D53" s="148" t="str">
        <f t="shared" si="24"/>
        <v>Not Possible</v>
      </c>
      <c r="E53" s="148" t="str">
        <f t="shared" si="25"/>
        <v>Not Possible</v>
      </c>
      <c r="F53" s="148">
        <f t="shared" si="25"/>
        <v>2271.4042429814144</v>
      </c>
      <c r="G53" s="148" t="str">
        <f t="shared" si="25"/>
        <v>Not Possible</v>
      </c>
      <c r="H53" s="148">
        <f t="shared" si="25"/>
        <v>2253.38838654133</v>
      </c>
      <c r="I53" s="148" t="str">
        <f t="shared" si="25"/>
        <v>Not Possible</v>
      </c>
      <c r="J53" s="148">
        <f t="shared" si="25"/>
        <v>3596.9122832120847</v>
      </c>
      <c r="K53" s="148" t="str">
        <f t="shared" si="25"/>
        <v>Not Possible</v>
      </c>
      <c r="L53" s="148">
        <f t="shared" si="25"/>
        <v>2253.38838654133</v>
      </c>
      <c r="M53" s="148" t="str">
        <f t="shared" si="25"/>
        <v>Not Possible</v>
      </c>
      <c r="N53" s="148">
        <f t="shared" si="25"/>
        <v>2660.7781649661993</v>
      </c>
      <c r="O53" s="148" t="str">
        <f t="shared" si="25"/>
        <v>Not Possible</v>
      </c>
      <c r="P53" s="148">
        <f t="shared" si="25"/>
        <v>3559.0016353328174</v>
      </c>
      <c r="Q53" s="148" t="str">
        <f t="shared" si="25"/>
        <v>Not Possible</v>
      </c>
      <c r="R53" s="148">
        <f t="shared" si="25"/>
        <v>3812.5505452167308</v>
      </c>
      <c r="S53" s="148">
        <f t="shared" si="25"/>
        <v>3105.3326209880724</v>
      </c>
      <c r="T53" s="148">
        <f t="shared" si="25"/>
        <v>2094.2149420120295</v>
      </c>
    </row>
    <row r="54" spans="2:60">
      <c r="E54" s="11"/>
    </row>
    <row r="55" spans="2:60">
      <c r="B55" s="1" t="s">
        <v>669</v>
      </c>
      <c r="E55" s="11"/>
      <c r="V55" s="51" t="s">
        <v>706</v>
      </c>
    </row>
    <row r="56" spans="2:60" s="118" customFormat="1" ht="72">
      <c r="B56" s="115" t="s">
        <v>666</v>
      </c>
      <c r="C56" s="116" t="s">
        <v>676</v>
      </c>
      <c r="D56" s="117" t="str">
        <f t="shared" ref="D56:T56" si="26">D3</f>
        <v>Part L 21</v>
      </c>
      <c r="E56" s="117" t="str">
        <f t="shared" si="26"/>
        <v xml:space="preserve">Notional Building C&amp;B </v>
      </c>
      <c r="F56" s="117" t="str">
        <f t="shared" si="26"/>
        <v xml:space="preserve">Notional Building C&amp;B </v>
      </c>
      <c r="G56" s="117" t="str">
        <f t="shared" si="26"/>
        <v>35 kWh/m2.year</v>
      </c>
      <c r="H56" s="117" t="str">
        <f t="shared" si="26"/>
        <v>35 kWh/m2.year</v>
      </c>
      <c r="I56" s="117" t="str">
        <f t="shared" si="26"/>
        <v>35 kWh/m2.year</v>
      </c>
      <c r="J56" s="117" t="str">
        <f t="shared" si="26"/>
        <v>35 kWh/m2.year</v>
      </c>
      <c r="K56" s="117" t="str">
        <f t="shared" si="26"/>
        <v>30 kWh/m2.year</v>
      </c>
      <c r="L56" s="117" t="str">
        <f t="shared" si="26"/>
        <v>30 kWh/m2.year</v>
      </c>
      <c r="M56" s="117" t="str">
        <f t="shared" si="26"/>
        <v>25 kWh/m2.year</v>
      </c>
      <c r="N56" s="117" t="str">
        <f t="shared" si="26"/>
        <v>25 kWh/m2.year</v>
      </c>
      <c r="O56" s="117" t="str">
        <f t="shared" si="26"/>
        <v>20 kWh/m2.year</v>
      </c>
      <c r="P56" s="117" t="str">
        <f t="shared" si="26"/>
        <v>20 kWh/m2.year</v>
      </c>
      <c r="Q56" s="117" t="str">
        <f t="shared" si="26"/>
        <v>15 kWh/m2.year (Passivhaus)</v>
      </c>
      <c r="R56" s="117" t="str">
        <f t="shared" si="26"/>
        <v>15 kWh/m2.year (Passivhaus)</v>
      </c>
      <c r="S56" s="117" t="str">
        <f t="shared" si="26"/>
        <v>FHS</v>
      </c>
      <c r="T56" s="117" t="str">
        <f t="shared" si="26"/>
        <v>Bespoke</v>
      </c>
      <c r="V56" s="139" t="s">
        <v>16</v>
      </c>
      <c r="W56" s="117" t="s">
        <v>343</v>
      </c>
      <c r="X56" s="117" t="s">
        <v>435</v>
      </c>
      <c r="Y56" s="117" t="s">
        <v>436</v>
      </c>
      <c r="Z56" s="117" t="s">
        <v>437</v>
      </c>
      <c r="AA56" s="117" t="s">
        <v>438</v>
      </c>
      <c r="AB56" s="117" t="s">
        <v>439</v>
      </c>
      <c r="AC56" s="117" t="s">
        <v>440</v>
      </c>
      <c r="AD56" s="117" t="s">
        <v>441</v>
      </c>
      <c r="AE56" s="117" t="s">
        <v>442</v>
      </c>
      <c r="AF56" s="117" t="s">
        <v>443</v>
      </c>
      <c r="AG56" s="117" t="s">
        <v>444</v>
      </c>
      <c r="AH56" s="117" t="s">
        <v>445</v>
      </c>
      <c r="AI56" s="117" t="s">
        <v>446</v>
      </c>
      <c r="AJ56" s="117" t="s">
        <v>447</v>
      </c>
      <c r="AK56" s="117" t="s">
        <v>677</v>
      </c>
      <c r="AL56" s="117" t="s">
        <v>351</v>
      </c>
      <c r="AM56" s="117" t="s">
        <v>791</v>
      </c>
      <c r="AO56" s="144" t="s">
        <v>16</v>
      </c>
      <c r="AP56" s="117" t="s">
        <v>343</v>
      </c>
      <c r="AQ56" s="117" t="s">
        <v>435</v>
      </c>
      <c r="AR56" s="117" t="s">
        <v>436</v>
      </c>
      <c r="AS56" s="117" t="s">
        <v>437</v>
      </c>
      <c r="AT56" s="117" t="s">
        <v>438</v>
      </c>
      <c r="AU56" s="117" t="s">
        <v>439</v>
      </c>
      <c r="AV56" s="117" t="s">
        <v>440</v>
      </c>
      <c r="AW56" s="117" t="s">
        <v>441</v>
      </c>
      <c r="AX56" s="117" t="s">
        <v>442</v>
      </c>
      <c r="AY56" s="117" t="s">
        <v>443</v>
      </c>
      <c r="AZ56" s="117" t="s">
        <v>444</v>
      </c>
      <c r="BA56" s="117" t="s">
        <v>445</v>
      </c>
      <c r="BB56" s="117" t="s">
        <v>446</v>
      </c>
      <c r="BC56" s="117" t="s">
        <v>447</v>
      </c>
      <c r="BD56" s="117" t="s">
        <v>677</v>
      </c>
      <c r="BE56" s="117" t="s">
        <v>351</v>
      </c>
      <c r="BF56" s="117" t="s">
        <v>791</v>
      </c>
    </row>
    <row r="57" spans="2:60">
      <c r="B57" s="112" t="s">
        <v>667</v>
      </c>
      <c r="C57" s="129"/>
      <c r="D57" s="61"/>
      <c r="E57" s="113"/>
      <c r="F57" s="61"/>
      <c r="G57" s="61"/>
      <c r="H57" s="61"/>
      <c r="I57" s="61"/>
      <c r="J57" s="61"/>
      <c r="K57" s="61"/>
      <c r="L57" s="61"/>
      <c r="M57" s="61"/>
      <c r="N57" s="61"/>
      <c r="O57" s="61"/>
      <c r="P57" s="61"/>
      <c r="Q57" s="61"/>
      <c r="R57" s="61"/>
      <c r="S57" s="61"/>
      <c r="T57" s="59"/>
      <c r="V57" s="112" t="s">
        <v>667</v>
      </c>
      <c r="W57" s="59"/>
      <c r="X57" s="59"/>
      <c r="Y57" s="59"/>
      <c r="Z57" s="59"/>
      <c r="AA57" s="59"/>
      <c r="AB57" s="59"/>
      <c r="AC57" s="59"/>
      <c r="AD57" s="59"/>
      <c r="AE57" s="59"/>
      <c r="AF57" s="59"/>
      <c r="AG57" s="59"/>
      <c r="AH57" s="59"/>
      <c r="AI57" s="59"/>
      <c r="AJ57" s="59"/>
      <c r="AK57" s="59"/>
      <c r="AL57" s="59"/>
      <c r="AM57" s="59"/>
      <c r="AO57" s="133" t="s">
        <v>667</v>
      </c>
      <c r="AP57" s="132"/>
      <c r="AQ57" s="132"/>
      <c r="AR57" s="132"/>
      <c r="AS57" s="132"/>
      <c r="AT57" s="132"/>
      <c r="AU57" s="132"/>
      <c r="AV57" s="132"/>
      <c r="AW57" s="132"/>
      <c r="AX57" s="132"/>
      <c r="AY57" s="132"/>
      <c r="AZ57" s="132"/>
      <c r="BA57" s="132"/>
      <c r="BB57" s="132"/>
      <c r="BC57" s="132"/>
      <c r="BD57" s="132"/>
      <c r="BE57" s="132"/>
      <c r="BF57" s="132"/>
    </row>
    <row r="58" spans="2:60" s="4" customFormat="1">
      <c r="B58" s="130" t="s">
        <v>609</v>
      </c>
      <c r="C58" s="127">
        <f>SAP!D159</f>
        <v>10.808029267367754</v>
      </c>
      <c r="D58" s="131">
        <f>IF(IF(D$39&lt;=$C58,D$26,(((D$39-$C58)/SAP!$C$10)*'C&amp;B'!$D$13/SAP!$C$143)+D$26)&lt;=SAP!$F$151,IF(D$39&lt;=$C58,D$26,(((D$39-$C58)/SAP!$C$10)*'C&amp;B'!$D$13/SAP!$C$143)+D$26),"Not Possible")</f>
        <v>2.6215384615384618</v>
      </c>
      <c r="E58" s="131">
        <f>IF(IF(E$39&lt;=$C58,E$26,(((E$39-$C58)/SAP!$C$10)*'C&amp;B'!$D$13/SAP!$C$143)+E$26)&lt;=SAP!$F$151,IF(E$39&lt;=$C58,E$26,(((E$39-$C58)/SAP!$C$10)*'C&amp;B'!$D$13/SAP!$C$143)+E$26),"Not Possible")</f>
        <v>2.8956667928862898</v>
      </c>
      <c r="F58" s="131">
        <f>IF(IF(F$39&lt;=$C58,F$26,(((F$39-$C58)/SAP!$C$10)*'C&amp;B'!$D$13/SAP!$C$143)+F$26)&lt;=SAP!$F$151,IF(F$39&lt;=$C58,F$26,(((F$39-$C58)/SAP!$C$10)*'C&amp;B'!$D$13/SAP!$C$143)+F$26),"Not Possible")</f>
        <v>0</v>
      </c>
      <c r="G58" s="131" t="str">
        <f>IF(IF(G$39&lt;=$C58,G$26,(((G$39-$C58)/SAP!$C$10)*'C&amp;B'!$D$13/SAP!$C$143)+G$26)&lt;=SAP!$F$151,IF(G$39&lt;=$C58,G$26,(((G$39-$C58)/SAP!$C$10)*'C&amp;B'!$D$13/SAP!$C$143)+G$26),"Not Possible")</f>
        <v>Not Possible</v>
      </c>
      <c r="H58" s="131">
        <f>IF(IF(H$39&lt;=$C58,H$26,(((H$39-$C58)/SAP!$C$10)*'C&amp;B'!$D$13/SAP!$C$143)+H$26)&lt;=SAP!$F$151,IF(H$39&lt;=$C58,H$26,(((H$39-$C58)/SAP!$C$10)*'C&amp;B'!$D$13/SAP!$C$143)+H$26),"Not Possible")</f>
        <v>0</v>
      </c>
      <c r="I58" s="131">
        <f>IF(IF(I$39&lt;=$C58,I$26,(((I$39-$C58)/SAP!$C$10)*'C&amp;B'!$D$13/SAP!$C$143)+I$26)&lt;=SAP!$F$151,IF(I$39&lt;=$C58,I$26,(((I$39-$C58)/SAP!$C$10)*'C&amp;B'!$D$13/SAP!$C$143)+I$26),"Not Possible")</f>
        <v>1.7299039261524936</v>
      </c>
      <c r="J58" s="131">
        <f>IF(IF(J$39&lt;=$C58,J$26,(((J$39-$C58)/SAP!$C$10)*'C&amp;B'!$D$13/SAP!$C$143)+J$26)&lt;=SAP!$F$151,IF(J$39&lt;=$C58,J$26,(((J$39-$C58)/SAP!$C$10)*'C&amp;B'!$D$13/SAP!$C$143)+J$26),"Not Possible")</f>
        <v>0</v>
      </c>
      <c r="K58" s="131" t="str">
        <f>IF(IF(K$39&lt;=$C58,K$26,(((K$39-$C58)/SAP!$C$10)*'C&amp;B'!$D$13/SAP!$C$143)+K$26)&lt;=SAP!$F$151,IF(K$39&lt;=$C58,K$26,(((K$39-$C58)/SAP!$C$10)*'C&amp;B'!$D$13/SAP!$C$143)+K$26),"Not Possible")</f>
        <v>Not Possible</v>
      </c>
      <c r="L58" s="131">
        <f>IF(IF(L$39&lt;=$C58,L$26,(((L$39-$C58)/SAP!$C$10)*'C&amp;B'!$D$13/SAP!$C$143)+L$26)&lt;=SAP!$F$151,IF(L$39&lt;=$C58,L$26,(((L$39-$C58)/SAP!$C$10)*'C&amp;B'!$D$13/SAP!$C$143)+L$26),"Not Possible")</f>
        <v>0</v>
      </c>
      <c r="M58" s="131">
        <f>IF(IF(M$39&lt;=$C58,M$26,(((M$39-$C58)/SAP!$C$10)*'C&amp;B'!$D$13/SAP!$C$143)+M$26)&lt;=SAP!$F$151,IF(M$39&lt;=$C58,M$26,(((M$39-$C58)/SAP!$C$10)*'C&amp;B'!$D$13/SAP!$C$143)+M$26),"Not Possible")</f>
        <v>2.5804671744757153</v>
      </c>
      <c r="N58" s="131">
        <f>IF(IF(N$39&lt;=$C58,N$26,(((N$39-$C58)/SAP!$C$10)*'C&amp;B'!$D$13/SAP!$C$143)+N$26)&lt;=SAP!$F$151,IF(N$39&lt;=$C58,N$26,(((N$39-$C58)/SAP!$C$10)*'C&amp;B'!$D$13/SAP!$C$143)+N$26),"Not Possible")</f>
        <v>0</v>
      </c>
      <c r="O58" s="131">
        <f>IF(IF(O$39&lt;=$C58,O$26,(((O$39-$C58)/SAP!$C$10)*'C&amp;B'!$D$13/SAP!$C$143)+O$26)&lt;=SAP!$F$151,IF(O$39&lt;=$C58,O$26,(((O$39-$C58)/SAP!$C$10)*'C&amp;B'!$D$13/SAP!$C$143)+O$26),"Not Possible")</f>
        <v>1.3592691005172093</v>
      </c>
      <c r="P58" s="131">
        <f>IF(IF(P$39&lt;=$C58,P$26,(((P$39-$C58)/SAP!$C$10)*'C&amp;B'!$D$13/SAP!$C$143)+P$26)&lt;=SAP!$F$151,IF(P$39&lt;=$C58,P$26,(((P$39-$C58)/SAP!$C$10)*'C&amp;B'!$D$13/SAP!$C$143)+P$26),"Not Possible")</f>
        <v>0</v>
      </c>
      <c r="Q58" s="131">
        <f>IF(IF(Q$39&lt;=$C58,Q$26,(((Q$39-$C58)/SAP!$C$10)*'C&amp;B'!$D$13/SAP!$C$143)+Q$26)&lt;=SAP!$F$151,IF(Q$39&lt;=$C58,Q$26,(((Q$39-$C58)/SAP!$C$10)*'C&amp;B'!$D$13/SAP!$C$143)+Q$26),"Not Possible")</f>
        <v>0.65094838709178882</v>
      </c>
      <c r="R58" s="131">
        <f>IF(IF(R$39&lt;=$C58,R$26,(((R$39-$C58)/SAP!$C$10)*'C&amp;B'!$D$13/SAP!$C$143)+R$26)&lt;=SAP!$F$151,IF(R$39&lt;=$C58,R$26,(((R$39-$C58)/SAP!$C$10)*'C&amp;B'!$D$13/SAP!$C$143)+R$26),"Not Possible")</f>
        <v>0</v>
      </c>
      <c r="S58" s="131">
        <f>IF(IF(S$39&lt;=$C58,S$26,(((S$39-$C58)/SAP!$C$10)*'C&amp;B'!$D$13/SAP!$C$143)+S$26)&lt;=SAP!$F$151,IF(S$39&lt;=$C58,S$26,(((S$39-$C58)/SAP!$C$10)*'C&amp;B'!$D$13/SAP!$C$143)+S$26),"Not Possible")</f>
        <v>0</v>
      </c>
      <c r="T58" s="131">
        <f>IF(IF(T$39&lt;=$C58,T$26,(((T$39-$C58)/SAP!$C$10)*'C&amp;B'!$D$13/SAP!$C$143)+T$26)&lt;=SAP!$F$151,IF(T$39&lt;=$C58,T$26,(((T$39-$C58)/SAP!$C$10)*'C&amp;B'!$D$13/SAP!$C$143)+T$26),"Not Possible")</f>
        <v>0</v>
      </c>
      <c r="V58" s="130" t="s">
        <v>609</v>
      </c>
      <c r="W58" s="82">
        <f>IF(D58=0,0,IF(D58&lt;4,'C&amp;B'!$E$316+(D58*'C&amp;B'!$E$317),D58*'C&amp;B'!$E$318))</f>
        <v>2672.9230769230771</v>
      </c>
      <c r="X58" s="82">
        <f>IF(E58=0,0,IF(E58&lt;4,'C&amp;B'!$E$316+(E58*'C&amp;B'!$E$317),E58*'C&amp;B'!$E$318))</f>
        <v>2837.400075731774</v>
      </c>
      <c r="Y58" s="82">
        <f>IF(F58=0,0,IF(F58&lt;4,'C&amp;B'!$E$316+(F58*'C&amp;B'!$E$317),F58*'C&amp;B'!$E$318))</f>
        <v>0</v>
      </c>
      <c r="Z58" s="82" t="e">
        <f>IF(G58=0,0,IF(G58&lt;4,'C&amp;B'!$E$316+(G58*'C&amp;B'!$E$317),G58*'C&amp;B'!$E$318))</f>
        <v>#VALUE!</v>
      </c>
      <c r="AA58" s="82">
        <f>IF(H58=0,0,IF(H58&lt;4,'C&amp;B'!$E$316+(H58*'C&amp;B'!$E$317),H58*'C&amp;B'!$E$318))</f>
        <v>0</v>
      </c>
      <c r="AB58" s="82">
        <f>IF(I58=0,0,IF(I58&lt;4,'C&amp;B'!$E$316+(I58*'C&amp;B'!$E$317),I58*'C&amp;B'!$E$318))</f>
        <v>2137.9423556914962</v>
      </c>
      <c r="AC58" s="82">
        <f>IF(J58=0,0,IF(J58&lt;4,'C&amp;B'!$E$316+(J58*'C&amp;B'!$E$317),J58*'C&amp;B'!$E$318))</f>
        <v>0</v>
      </c>
      <c r="AD58" s="82" t="e">
        <f>IF(K58=0,0,IF(K58&lt;4,'C&amp;B'!$E$316+(K58*'C&amp;B'!$E$317),K58*'C&amp;B'!$E$318))</f>
        <v>#VALUE!</v>
      </c>
      <c r="AE58" s="82">
        <f>IF(L58=0,0,IF(L58&lt;4,'C&amp;B'!$E$316+(L58*'C&amp;B'!$E$317),L58*'C&amp;B'!$E$318))</f>
        <v>0</v>
      </c>
      <c r="AF58" s="82">
        <f>IF(M58=0,0,IF(M58&lt;4,'C&amp;B'!$E$316+(M58*'C&amp;B'!$E$317),M58*'C&amp;B'!$E$318))</f>
        <v>2648.2803046854292</v>
      </c>
      <c r="AG58" s="82">
        <f>IF(N58=0,0,IF(N58&lt;4,'C&amp;B'!$E$316+(N58*'C&amp;B'!$E$317),N58*'C&amp;B'!$E$318))</f>
        <v>0</v>
      </c>
      <c r="AH58" s="82">
        <f>IF(O58=0,0,IF(O58&lt;4,'C&amp;B'!$E$316+(O58*'C&amp;B'!$E$317),O58*'C&amp;B'!$E$318))</f>
        <v>1915.5614603103254</v>
      </c>
      <c r="AI58" s="82">
        <f>IF(P58=0,0,IF(P58&lt;4,'C&amp;B'!$E$316+(P58*'C&amp;B'!$E$317),P58*'C&amp;B'!$E$318))</f>
        <v>0</v>
      </c>
      <c r="AJ58" s="82">
        <f>IF(Q58=0,0,IF(Q58&lt;4,'C&amp;B'!$E$316+(Q58*'C&amp;B'!$E$317),Q58*'C&amp;B'!$E$318))</f>
        <v>1490.5690322550734</v>
      </c>
      <c r="AK58" s="82">
        <f>IF(R58=0,0,IF(R58&lt;4,'C&amp;B'!$E$316+(R58*'C&amp;B'!$E$317),R58*'C&amp;B'!$E$318))</f>
        <v>0</v>
      </c>
      <c r="AL58" s="82">
        <f>IF(S58=0,0,IF(S58&lt;4,'C&amp;B'!$E$316+(S58*'C&amp;B'!$E$317),S58*'C&amp;B'!$E$318))</f>
        <v>0</v>
      </c>
      <c r="AM58" s="82">
        <f>IF(T58=0,0,IF(T58&lt;4,'C&amp;B'!$E$316+(T58*'C&amp;B'!$E$317),T58*'C&amp;B'!$E$318))</f>
        <v>0</v>
      </c>
      <c r="AO58" s="130" t="s">
        <v>609</v>
      </c>
      <c r="AP58" s="82">
        <f>AP$27-AP$26+W58</f>
        <v>33906.923076923078</v>
      </c>
      <c r="AQ58" s="82">
        <f t="shared" ref="AQ58:BF64" si="27">AQ$27-AQ$26+X58</f>
        <v>33542.400075731777</v>
      </c>
      <c r="AR58" s="82">
        <f t="shared" si="27"/>
        <v>25538</v>
      </c>
      <c r="AS58" s="82" t="e">
        <f t="shared" si="27"/>
        <v>#VALUE!</v>
      </c>
      <c r="AT58" s="82">
        <f t="shared" si="27"/>
        <v>25328</v>
      </c>
      <c r="AU58" s="82">
        <f t="shared" si="27"/>
        <v>33987.942355691499</v>
      </c>
      <c r="AV58" s="82">
        <f t="shared" si="27"/>
        <v>26683</v>
      </c>
      <c r="AW58" s="82" t="e">
        <f t="shared" si="27"/>
        <v>#VALUE!</v>
      </c>
      <c r="AX58" s="82">
        <f t="shared" si="27"/>
        <v>25328</v>
      </c>
      <c r="AY58" s="82">
        <f t="shared" si="27"/>
        <v>33771.280304685431</v>
      </c>
      <c r="AZ58" s="82">
        <f t="shared" si="27"/>
        <v>25956</v>
      </c>
      <c r="BA58" s="82">
        <f t="shared" si="27"/>
        <v>33765.561460310324</v>
      </c>
      <c r="BB58" s="82">
        <f t="shared" si="27"/>
        <v>26683</v>
      </c>
      <c r="BC58" s="82">
        <f t="shared" si="27"/>
        <v>33666.569032255073</v>
      </c>
      <c r="BD58" s="82">
        <f t="shared" si="27"/>
        <v>27009</v>
      </c>
      <c r="BE58" s="82">
        <f t="shared" si="27"/>
        <v>26482</v>
      </c>
      <c r="BF58" s="82">
        <f t="shared" si="27"/>
        <v>25274</v>
      </c>
      <c r="BH58" s="171"/>
    </row>
    <row r="59" spans="2:60" s="4" customFormat="1">
      <c r="B59" s="130" t="s">
        <v>610</v>
      </c>
      <c r="C59" s="127">
        <f>SAP!D160</f>
        <v>9.7272263406309794</v>
      </c>
      <c r="D59" s="131">
        <f>IF(IF(D$39&lt;=$C59,D$26,(((D$39-$C59)/SAP!$C$10)*'C&amp;B'!$D$13/SAP!$C$143)+D$26)&lt;=SAP!$F$151,IF(D$39&lt;=$C59,D$26,(((D$39-$C59)/SAP!$C$10)*'C&amp;B'!$D$13/SAP!$C$143)+D$26),"Not Possible")</f>
        <v>2.8676576027810072</v>
      </c>
      <c r="E59" s="131">
        <f>IF(IF(E$39&lt;=$C59,E$26,(((E$39-$C59)/SAP!$C$10)*'C&amp;B'!$D$13/SAP!$C$143)+E$26)&lt;=SAP!$F$151,IF(E$39&lt;=$C59,E$26,(((E$39-$C59)/SAP!$C$10)*'C&amp;B'!$D$13/SAP!$C$143)+E$26),"Not Possible")</f>
        <v>3.6355132615440309</v>
      </c>
      <c r="F59" s="131">
        <f>IF(IF(F$39&lt;=$C59,F$26,(((F$39-$C59)/SAP!$C$10)*'C&amp;B'!$D$13/SAP!$C$143)+F$26)&lt;=SAP!$F$151,IF(F$39&lt;=$C59,F$26,(((F$39-$C59)/SAP!$C$10)*'C&amp;B'!$D$13/SAP!$C$143)+F$26),"Not Possible")</f>
        <v>0</v>
      </c>
      <c r="G59" s="131" t="str">
        <f>IF(IF(G$39&lt;=$C59,G$26,(((G$39-$C59)/SAP!$C$10)*'C&amp;B'!$D$13/SAP!$C$143)+G$26)&lt;=SAP!$F$151,IF(G$39&lt;=$C59,G$26,(((G$39-$C59)/SAP!$C$10)*'C&amp;B'!$D$13/SAP!$C$143)+G$26),"Not Possible")</f>
        <v>Not Possible</v>
      </c>
      <c r="H59" s="131">
        <f>IF(IF(H$39&lt;=$C59,H$26,(((H$39-$C59)/SAP!$C$10)*'C&amp;B'!$D$13/SAP!$C$143)+H$26)&lt;=SAP!$F$151,IF(H$39&lt;=$C59,H$26,(((H$39-$C59)/SAP!$C$10)*'C&amp;B'!$D$13/SAP!$C$143)+H$26),"Not Possible")</f>
        <v>0</v>
      </c>
      <c r="I59" s="131">
        <f>IF(IF(I$39&lt;=$C59,I$26,(((I$39-$C59)/SAP!$C$10)*'C&amp;B'!$D$13/SAP!$C$143)+I$26)&lt;=SAP!$F$151,IF(I$39&lt;=$C59,I$26,(((I$39-$C59)/SAP!$C$10)*'C&amp;B'!$D$13/SAP!$C$143)+I$26),"Not Possible")</f>
        <v>2.4697503948102342</v>
      </c>
      <c r="J59" s="131">
        <f>IF(IF(J$39&lt;=$C59,J$26,(((J$39-$C59)/SAP!$C$10)*'C&amp;B'!$D$13/SAP!$C$143)+J$26)&lt;=SAP!$F$151,IF(J$39&lt;=$C59,J$26,(((J$39-$C59)/SAP!$C$10)*'C&amp;B'!$D$13/SAP!$C$143)+J$26),"Not Possible")</f>
        <v>0</v>
      </c>
      <c r="K59" s="131" t="str">
        <f>IF(IF(K$39&lt;=$C59,K$26,(((K$39-$C59)/SAP!$C$10)*'C&amp;B'!$D$13/SAP!$C$143)+K$26)&lt;=SAP!$F$151,IF(K$39&lt;=$C59,K$26,(((K$39-$C59)/SAP!$C$10)*'C&amp;B'!$D$13/SAP!$C$143)+K$26),"Not Possible")</f>
        <v>Not Possible</v>
      </c>
      <c r="L59" s="131">
        <f>IF(IF(L$39&lt;=$C59,L$26,(((L$39-$C59)/SAP!$C$10)*'C&amp;B'!$D$13/SAP!$C$143)+L$26)&lt;=SAP!$F$151,IF(L$39&lt;=$C59,L$26,(((L$39-$C59)/SAP!$C$10)*'C&amp;B'!$D$13/SAP!$C$143)+L$26),"Not Possible")</f>
        <v>0</v>
      </c>
      <c r="M59" s="131">
        <f>IF(IF(M$39&lt;=$C59,M$26,(((M$39-$C59)/SAP!$C$10)*'C&amp;B'!$D$13/SAP!$C$143)+M$26)&lt;=SAP!$F$151,IF(M$39&lt;=$C59,M$26,(((M$39-$C59)/SAP!$C$10)*'C&amp;B'!$D$13/SAP!$C$143)+M$26),"Not Possible")</f>
        <v>3.3203136431334563</v>
      </c>
      <c r="N59" s="131">
        <f>IF(IF(N$39&lt;=$C59,N$26,(((N$39-$C59)/SAP!$C$10)*'C&amp;B'!$D$13/SAP!$C$143)+N$26)&lt;=SAP!$F$151,IF(N$39&lt;=$C59,N$26,(((N$39-$C59)/SAP!$C$10)*'C&amp;B'!$D$13/SAP!$C$143)+N$26),"Not Possible")</f>
        <v>0</v>
      </c>
      <c r="O59" s="131">
        <f>IF(IF(O$39&lt;=$C59,O$26,(((O$39-$C59)/SAP!$C$10)*'C&amp;B'!$D$13/SAP!$C$143)+O$26)&lt;=SAP!$F$151,IF(O$39&lt;=$C59,O$26,(((O$39-$C59)/SAP!$C$10)*'C&amp;B'!$D$13/SAP!$C$143)+O$26),"Not Possible")</f>
        <v>2.0991155691749501</v>
      </c>
      <c r="P59" s="131">
        <f>IF(IF(P$39&lt;=$C59,P$26,(((P$39-$C59)/SAP!$C$10)*'C&amp;B'!$D$13/SAP!$C$143)+P$26)&lt;=SAP!$F$151,IF(P$39&lt;=$C59,P$26,(((P$39-$C59)/SAP!$C$10)*'C&amp;B'!$D$13/SAP!$C$143)+P$26),"Not Possible")</f>
        <v>0</v>
      </c>
      <c r="Q59" s="131">
        <f>IF(IF(Q$39&lt;=$C59,Q$26,(((Q$39-$C59)/SAP!$C$10)*'C&amp;B'!$D$13/SAP!$C$143)+Q$26)&lt;=SAP!$F$151,IF(Q$39&lt;=$C59,Q$26,(((Q$39-$C59)/SAP!$C$10)*'C&amp;B'!$D$13/SAP!$C$143)+Q$26),"Not Possible")</f>
        <v>1.3907948557495295</v>
      </c>
      <c r="R59" s="131">
        <f>IF(IF(R$39&lt;=$C59,R$26,(((R$39-$C59)/SAP!$C$10)*'C&amp;B'!$D$13/SAP!$C$143)+R$26)&lt;=SAP!$F$151,IF(R$39&lt;=$C59,R$26,(((R$39-$C59)/SAP!$C$10)*'C&amp;B'!$D$13/SAP!$C$143)+R$26),"Not Possible")</f>
        <v>0</v>
      </c>
      <c r="S59" s="131">
        <f>IF(IF(S$39&lt;=$C59,S$26,(((S$39-$C59)/SAP!$C$10)*'C&amp;B'!$D$13/SAP!$C$143)+S$26)&lt;=SAP!$F$151,IF(S$39&lt;=$C59,S$26,(((S$39-$C59)/SAP!$C$10)*'C&amp;B'!$D$13/SAP!$C$143)+S$26),"Not Possible")</f>
        <v>0</v>
      </c>
      <c r="T59" s="131">
        <f>IF(IF(T$39&lt;=$C59,T$26,(((T$39-$C59)/SAP!$C$10)*'C&amp;B'!$D$13/SAP!$C$143)+T$26)&lt;=SAP!$F$151,IF(T$39&lt;=$C59,T$26,(((T$39-$C59)/SAP!$C$10)*'C&amp;B'!$D$13/SAP!$C$143)+T$26),"Not Possible")</f>
        <v>0</v>
      </c>
      <c r="V59" s="130" t="s">
        <v>610</v>
      </c>
      <c r="W59" s="82">
        <f>IF(D59=0,0,IF(D59&lt;4,'C&amp;B'!$E$316+(D59*'C&amp;B'!$E$317),D59*'C&amp;B'!$E$318))</f>
        <v>2820.594561668604</v>
      </c>
      <c r="X59" s="82">
        <f>IF(E59=0,0,IF(E59&lt;4,'C&amp;B'!$E$316+(E59*'C&amp;B'!$E$317),E59*'C&amp;B'!$E$318))</f>
        <v>3281.3079569264187</v>
      </c>
      <c r="Y59" s="82">
        <f>IF(F59=0,0,IF(F59&lt;4,'C&amp;B'!$E$316+(F59*'C&amp;B'!$E$317),F59*'C&amp;B'!$E$318))</f>
        <v>0</v>
      </c>
      <c r="Z59" s="82" t="e">
        <f>IF(G59=0,0,IF(G59&lt;4,'C&amp;B'!$E$316+(G59*'C&amp;B'!$E$317),G59*'C&amp;B'!$E$318))</f>
        <v>#VALUE!</v>
      </c>
      <c r="AA59" s="82">
        <f>IF(H59=0,0,IF(H59&lt;4,'C&amp;B'!$E$316+(H59*'C&amp;B'!$E$317),H59*'C&amp;B'!$E$318))</f>
        <v>0</v>
      </c>
      <c r="AB59" s="82">
        <f>IF(I59=0,0,IF(I59&lt;4,'C&amp;B'!$E$316+(I59*'C&amp;B'!$E$317),I59*'C&amp;B'!$E$318))</f>
        <v>2581.8502368861405</v>
      </c>
      <c r="AC59" s="82">
        <f>IF(J59=0,0,IF(J59&lt;4,'C&amp;B'!$E$316+(J59*'C&amp;B'!$E$317),J59*'C&amp;B'!$E$318))</f>
        <v>0</v>
      </c>
      <c r="AD59" s="82" t="e">
        <f>IF(K59=0,0,IF(K59&lt;4,'C&amp;B'!$E$316+(K59*'C&amp;B'!$E$317),K59*'C&amp;B'!$E$318))</f>
        <v>#VALUE!</v>
      </c>
      <c r="AE59" s="82">
        <f>IF(L59=0,0,IF(L59&lt;4,'C&amp;B'!$E$316+(L59*'C&amp;B'!$E$317),L59*'C&amp;B'!$E$318))</f>
        <v>0</v>
      </c>
      <c r="AF59" s="82">
        <f>IF(M59=0,0,IF(M59&lt;4,'C&amp;B'!$E$316+(M59*'C&amp;B'!$E$317),M59*'C&amp;B'!$E$318))</f>
        <v>3092.1881858800739</v>
      </c>
      <c r="AG59" s="82">
        <f>IF(N59=0,0,IF(N59&lt;4,'C&amp;B'!$E$316+(N59*'C&amp;B'!$E$317),N59*'C&amp;B'!$E$318))</f>
        <v>0</v>
      </c>
      <c r="AH59" s="82">
        <f>IF(O59=0,0,IF(O59&lt;4,'C&amp;B'!$E$316+(O59*'C&amp;B'!$E$317),O59*'C&amp;B'!$E$318))</f>
        <v>2359.4693415049701</v>
      </c>
      <c r="AI59" s="82">
        <f>IF(P59=0,0,IF(P59&lt;4,'C&amp;B'!$E$316+(P59*'C&amp;B'!$E$317),P59*'C&amp;B'!$E$318))</f>
        <v>0</v>
      </c>
      <c r="AJ59" s="82">
        <f>IF(Q59=0,0,IF(Q59&lt;4,'C&amp;B'!$E$316+(Q59*'C&amp;B'!$E$317),Q59*'C&amp;B'!$E$318))</f>
        <v>1934.4769134497178</v>
      </c>
      <c r="AK59" s="82">
        <f>IF(R59=0,0,IF(R59&lt;4,'C&amp;B'!$E$316+(R59*'C&amp;B'!$E$317),R59*'C&amp;B'!$E$318))</f>
        <v>0</v>
      </c>
      <c r="AL59" s="82">
        <f>IF(S59=0,0,IF(S59&lt;4,'C&amp;B'!$E$316+(S59*'C&amp;B'!$E$317),S59*'C&amp;B'!$E$318))</f>
        <v>0</v>
      </c>
      <c r="AM59" s="82">
        <f>IF(T59=0,0,IF(T59&lt;4,'C&amp;B'!$E$316+(T59*'C&amp;B'!$E$317),T59*'C&amp;B'!$E$318))</f>
        <v>0</v>
      </c>
      <c r="AO59" s="130" t="s">
        <v>610</v>
      </c>
      <c r="AP59" s="82">
        <f t="shared" ref="AP59:AP64" si="28">AP$27-AP$26+W59</f>
        <v>34054.594561668608</v>
      </c>
      <c r="AQ59" s="82">
        <f t="shared" si="27"/>
        <v>33986.307956926415</v>
      </c>
      <c r="AR59" s="82">
        <f t="shared" si="27"/>
        <v>25538</v>
      </c>
      <c r="AS59" s="82" t="e">
        <f t="shared" si="27"/>
        <v>#VALUE!</v>
      </c>
      <c r="AT59" s="82">
        <f t="shared" si="27"/>
        <v>25328</v>
      </c>
      <c r="AU59" s="82">
        <f t="shared" si="27"/>
        <v>34431.850236886137</v>
      </c>
      <c r="AV59" s="82">
        <f t="shared" si="27"/>
        <v>26683</v>
      </c>
      <c r="AW59" s="82" t="e">
        <f t="shared" si="27"/>
        <v>#VALUE!</v>
      </c>
      <c r="AX59" s="82">
        <f t="shared" si="27"/>
        <v>25328</v>
      </c>
      <c r="AY59" s="82">
        <f t="shared" si="27"/>
        <v>34215.188185880077</v>
      </c>
      <c r="AZ59" s="82">
        <f t="shared" si="27"/>
        <v>25956</v>
      </c>
      <c r="BA59" s="82">
        <f t="shared" si="27"/>
        <v>34209.46934150497</v>
      </c>
      <c r="BB59" s="82">
        <f t="shared" si="27"/>
        <v>26683</v>
      </c>
      <c r="BC59" s="82">
        <f t="shared" si="27"/>
        <v>34110.476913449718</v>
      </c>
      <c r="BD59" s="82">
        <f t="shared" si="27"/>
        <v>27009</v>
      </c>
      <c r="BE59" s="82">
        <f t="shared" si="27"/>
        <v>26482</v>
      </c>
      <c r="BF59" s="82">
        <f t="shared" si="27"/>
        <v>25274</v>
      </c>
    </row>
    <row r="60" spans="2:60" s="4" customFormat="1">
      <c r="B60" s="130" t="s">
        <v>611</v>
      </c>
      <c r="C60" s="127">
        <f>SAP!D161</f>
        <v>8.6464234138942029</v>
      </c>
      <c r="D60" s="131">
        <f>IF(IF(D$39&lt;=$C60,D$26,(((D$39-$C60)/SAP!$C$10)*'C&amp;B'!$D$13/SAP!$C$143)+D$26)&lt;=SAP!$F$151,IF(D$39&lt;=$C60,D$26,(((D$39-$C60)/SAP!$C$10)*'C&amp;B'!$D$13/SAP!$C$143)+D$26),"Not Possible")</f>
        <v>3.6075040714387492</v>
      </c>
      <c r="E60" s="131" t="str">
        <f>IF(IF(E$39&lt;=$C60,E$26,(((E$39-$C60)/SAP!$C$10)*'C&amp;B'!$D$13/SAP!$C$143)+E$26)&lt;=SAP!$F$151,IF(E$39&lt;=$C60,E$26,(((E$39-$C60)/SAP!$C$10)*'C&amp;B'!$D$13/SAP!$C$143)+E$26),"Not Possible")</f>
        <v>Not Possible</v>
      </c>
      <c r="F60" s="131">
        <f>IF(IF(F$39&lt;=$C60,F$26,(((F$39-$C60)/SAP!$C$10)*'C&amp;B'!$D$13/SAP!$C$143)+F$26)&lt;=SAP!$F$151,IF(F$39&lt;=$C60,F$26,(((F$39-$C60)/SAP!$C$10)*'C&amp;B'!$D$13/SAP!$C$143)+F$26),"Not Possible")</f>
        <v>0</v>
      </c>
      <c r="G60" s="131" t="str">
        <f>IF(IF(G$39&lt;=$C60,G$26,(((G$39-$C60)/SAP!$C$10)*'C&amp;B'!$D$13/SAP!$C$143)+G$26)&lt;=SAP!$F$151,IF(G$39&lt;=$C60,G$26,(((G$39-$C60)/SAP!$C$10)*'C&amp;B'!$D$13/SAP!$C$143)+G$26),"Not Possible")</f>
        <v>Not Possible</v>
      </c>
      <c r="H60" s="131">
        <f>IF(IF(H$39&lt;=$C60,H$26,(((H$39-$C60)/SAP!$C$10)*'C&amp;B'!$D$13/SAP!$C$143)+H$26)&lt;=SAP!$F$151,IF(H$39&lt;=$C60,H$26,(((H$39-$C60)/SAP!$C$10)*'C&amp;B'!$D$13/SAP!$C$143)+H$26),"Not Possible")</f>
        <v>0</v>
      </c>
      <c r="I60" s="131">
        <f>IF(IF(I$39&lt;=$C60,I$26,(((I$39-$C60)/SAP!$C$10)*'C&amp;B'!$D$13/SAP!$C$143)+I$26)&lt;=SAP!$F$151,IF(I$39&lt;=$C60,I$26,(((I$39-$C60)/SAP!$C$10)*'C&amp;B'!$D$13/SAP!$C$143)+I$26),"Not Possible")</f>
        <v>3.2095968634679761</v>
      </c>
      <c r="J60" s="131">
        <f>IF(IF(J$39&lt;=$C60,J$26,(((J$39-$C60)/SAP!$C$10)*'C&amp;B'!$D$13/SAP!$C$143)+J$26)&lt;=SAP!$F$151,IF(J$39&lt;=$C60,J$26,(((J$39-$C60)/SAP!$C$10)*'C&amp;B'!$D$13/SAP!$C$143)+J$26),"Not Possible")</f>
        <v>0</v>
      </c>
      <c r="K60" s="131" t="str">
        <f>IF(IF(K$39&lt;=$C60,K$26,(((K$39-$C60)/SAP!$C$10)*'C&amp;B'!$D$13/SAP!$C$143)+K$26)&lt;=SAP!$F$151,IF(K$39&lt;=$C60,K$26,(((K$39-$C60)/SAP!$C$10)*'C&amp;B'!$D$13/SAP!$C$143)+K$26),"Not Possible")</f>
        <v>Not Possible</v>
      </c>
      <c r="L60" s="131">
        <f>IF(IF(L$39&lt;=$C60,L$26,(((L$39-$C60)/SAP!$C$10)*'C&amp;B'!$D$13/SAP!$C$143)+L$26)&lt;=SAP!$F$151,IF(L$39&lt;=$C60,L$26,(((L$39-$C60)/SAP!$C$10)*'C&amp;B'!$D$13/SAP!$C$143)+L$26),"Not Possible")</f>
        <v>0</v>
      </c>
      <c r="M60" s="131">
        <f>IF(IF(M$39&lt;=$C60,M$26,(((M$39-$C60)/SAP!$C$10)*'C&amp;B'!$D$13/SAP!$C$143)+M$26)&lt;=SAP!$F$151,IF(M$39&lt;=$C60,M$26,(((M$39-$C60)/SAP!$C$10)*'C&amp;B'!$D$13/SAP!$C$143)+M$26),"Not Possible")</f>
        <v>4.0601601117911983</v>
      </c>
      <c r="N60" s="131">
        <f>IF(IF(N$39&lt;=$C60,N$26,(((N$39-$C60)/SAP!$C$10)*'C&amp;B'!$D$13/SAP!$C$143)+N$26)&lt;=SAP!$F$151,IF(N$39&lt;=$C60,N$26,(((N$39-$C60)/SAP!$C$10)*'C&amp;B'!$D$13/SAP!$C$143)+N$26),"Not Possible")</f>
        <v>0</v>
      </c>
      <c r="O60" s="131">
        <f>IF(IF(O$39&lt;=$C60,O$26,(((O$39-$C60)/SAP!$C$10)*'C&amp;B'!$D$13/SAP!$C$143)+O$26)&lt;=SAP!$F$151,IF(O$39&lt;=$C60,O$26,(((O$39-$C60)/SAP!$C$10)*'C&amp;B'!$D$13/SAP!$C$143)+O$26),"Not Possible")</f>
        <v>2.8389620378326921</v>
      </c>
      <c r="P60" s="131">
        <f>IF(IF(P$39&lt;=$C60,P$26,(((P$39-$C60)/SAP!$C$10)*'C&amp;B'!$D$13/SAP!$C$143)+P$26)&lt;=SAP!$F$151,IF(P$39&lt;=$C60,P$26,(((P$39-$C60)/SAP!$C$10)*'C&amp;B'!$D$13/SAP!$C$143)+P$26),"Not Possible")</f>
        <v>0</v>
      </c>
      <c r="Q60" s="131">
        <f>IF(IF(Q$39&lt;=$C60,Q$26,(((Q$39-$C60)/SAP!$C$10)*'C&amp;B'!$D$13/SAP!$C$143)+Q$26)&lt;=SAP!$F$151,IF(Q$39&lt;=$C60,Q$26,(((Q$39-$C60)/SAP!$C$10)*'C&amp;B'!$D$13/SAP!$C$143)+Q$26),"Not Possible")</f>
        <v>2.1306413244072715</v>
      </c>
      <c r="R60" s="131">
        <f>IF(IF(R$39&lt;=$C60,R$26,(((R$39-$C60)/SAP!$C$10)*'C&amp;B'!$D$13/SAP!$C$143)+R$26)&lt;=SAP!$F$151,IF(R$39&lt;=$C60,R$26,(((R$39-$C60)/SAP!$C$10)*'C&amp;B'!$D$13/SAP!$C$143)+R$26),"Not Possible")</f>
        <v>0</v>
      </c>
      <c r="S60" s="131">
        <f>IF(IF(S$39&lt;=$C60,S$26,(((S$39-$C60)/SAP!$C$10)*'C&amp;B'!$D$13/SAP!$C$143)+S$26)&lt;=SAP!$F$151,IF(S$39&lt;=$C60,S$26,(((S$39-$C60)/SAP!$C$10)*'C&amp;B'!$D$13/SAP!$C$143)+S$26),"Not Possible")</f>
        <v>0</v>
      </c>
      <c r="T60" s="131">
        <f>IF(IF(T$39&lt;=$C60,T$26,(((T$39-$C60)/SAP!$C$10)*'C&amp;B'!$D$13/SAP!$C$143)+T$26)&lt;=SAP!$F$151,IF(T$39&lt;=$C60,T$26,(((T$39-$C60)/SAP!$C$10)*'C&amp;B'!$D$13/SAP!$C$143)+T$26),"Not Possible")</f>
        <v>0</v>
      </c>
      <c r="V60" s="130" t="s">
        <v>611</v>
      </c>
      <c r="W60" s="82">
        <f>IF(D60=0,0,IF(D60&lt;4,'C&amp;B'!$E$316+(D60*'C&amp;B'!$E$317),D60*'C&amp;B'!$E$318))</f>
        <v>3264.5024428632496</v>
      </c>
      <c r="X60" s="82" t="e">
        <f>IF(E60=0,0,IF(E60&lt;4,'C&amp;B'!$E$316+(E60*'C&amp;B'!$E$317),E60*'C&amp;B'!$E$318))</f>
        <v>#VALUE!</v>
      </c>
      <c r="Y60" s="82">
        <f>IF(F60=0,0,IF(F60&lt;4,'C&amp;B'!$E$316+(F60*'C&amp;B'!$E$317),F60*'C&amp;B'!$E$318))</f>
        <v>0</v>
      </c>
      <c r="Z60" s="82" t="e">
        <f>IF(G60=0,0,IF(G60&lt;4,'C&amp;B'!$E$316+(G60*'C&amp;B'!$E$317),G60*'C&amp;B'!$E$318))</f>
        <v>#VALUE!</v>
      </c>
      <c r="AA60" s="82">
        <f>IF(H60=0,0,IF(H60&lt;4,'C&amp;B'!$E$316+(H60*'C&amp;B'!$E$317),H60*'C&amp;B'!$E$318))</f>
        <v>0</v>
      </c>
      <c r="AB60" s="82">
        <f>IF(I60=0,0,IF(I60&lt;4,'C&amp;B'!$E$316+(I60*'C&amp;B'!$E$317),I60*'C&amp;B'!$E$318))</f>
        <v>3025.7581180807856</v>
      </c>
      <c r="AC60" s="82">
        <f>IF(J60=0,0,IF(J60&lt;4,'C&amp;B'!$E$316+(J60*'C&amp;B'!$E$317),J60*'C&amp;B'!$E$318))</f>
        <v>0</v>
      </c>
      <c r="AD60" s="82" t="e">
        <f>IF(K60=0,0,IF(K60&lt;4,'C&amp;B'!$E$316+(K60*'C&amp;B'!$E$317),K60*'C&amp;B'!$E$318))</f>
        <v>#VALUE!</v>
      </c>
      <c r="AE60" s="82">
        <f>IF(L60=0,0,IF(L60&lt;4,'C&amp;B'!$E$316+(L60*'C&amp;B'!$E$317),L60*'C&amp;B'!$E$318))</f>
        <v>0</v>
      </c>
      <c r="AF60" s="82">
        <f>IF(M60=0,0,IF(M60&lt;4,'C&amp;B'!$E$316+(M60*'C&amp;B'!$E$317),M60*'C&amp;B'!$E$318))</f>
        <v>4466.1761229703179</v>
      </c>
      <c r="AG60" s="82">
        <f>IF(N60=0,0,IF(N60&lt;4,'C&amp;B'!$E$316+(N60*'C&amp;B'!$E$317),N60*'C&amp;B'!$E$318))</f>
        <v>0</v>
      </c>
      <c r="AH60" s="82">
        <f>IF(O60=0,0,IF(O60&lt;4,'C&amp;B'!$E$316+(O60*'C&amp;B'!$E$317),O60*'C&amp;B'!$E$318))</f>
        <v>2803.3772226996152</v>
      </c>
      <c r="AI60" s="82">
        <f>IF(P60=0,0,IF(P60&lt;4,'C&amp;B'!$E$316+(P60*'C&amp;B'!$E$317),P60*'C&amp;B'!$E$318))</f>
        <v>0</v>
      </c>
      <c r="AJ60" s="82">
        <f>IF(Q60=0,0,IF(Q60&lt;4,'C&amp;B'!$E$316+(Q60*'C&amp;B'!$E$317),Q60*'C&amp;B'!$E$318))</f>
        <v>2378.384794644363</v>
      </c>
      <c r="AK60" s="82">
        <f>IF(R60=0,0,IF(R60&lt;4,'C&amp;B'!$E$316+(R60*'C&amp;B'!$E$317),R60*'C&amp;B'!$E$318))</f>
        <v>0</v>
      </c>
      <c r="AL60" s="82">
        <f>IF(S60=0,0,IF(S60&lt;4,'C&amp;B'!$E$316+(S60*'C&amp;B'!$E$317),S60*'C&amp;B'!$E$318))</f>
        <v>0</v>
      </c>
      <c r="AM60" s="82">
        <f>IF(T60=0,0,IF(T60&lt;4,'C&amp;B'!$E$316+(T60*'C&amp;B'!$E$317),T60*'C&amp;B'!$E$318))</f>
        <v>0</v>
      </c>
      <c r="AO60" s="130" t="s">
        <v>611</v>
      </c>
      <c r="AP60" s="82">
        <f t="shared" si="28"/>
        <v>34498.502442863246</v>
      </c>
      <c r="AQ60" s="82" t="e">
        <f t="shared" si="27"/>
        <v>#VALUE!</v>
      </c>
      <c r="AR60" s="82">
        <f t="shared" si="27"/>
        <v>25538</v>
      </c>
      <c r="AS60" s="82" t="e">
        <f t="shared" si="27"/>
        <v>#VALUE!</v>
      </c>
      <c r="AT60" s="82">
        <f t="shared" si="27"/>
        <v>25328</v>
      </c>
      <c r="AU60" s="82">
        <f t="shared" si="27"/>
        <v>34875.758118080783</v>
      </c>
      <c r="AV60" s="82">
        <f t="shared" si="27"/>
        <v>26683</v>
      </c>
      <c r="AW60" s="82" t="e">
        <f t="shared" si="27"/>
        <v>#VALUE!</v>
      </c>
      <c r="AX60" s="82">
        <f t="shared" si="27"/>
        <v>25328</v>
      </c>
      <c r="AY60" s="82">
        <f t="shared" si="27"/>
        <v>35589.176122970319</v>
      </c>
      <c r="AZ60" s="82">
        <f t="shared" si="27"/>
        <v>25956</v>
      </c>
      <c r="BA60" s="82">
        <f t="shared" si="27"/>
        <v>34653.377222699615</v>
      </c>
      <c r="BB60" s="82">
        <f t="shared" si="27"/>
        <v>26683</v>
      </c>
      <c r="BC60" s="82">
        <f t="shared" si="27"/>
        <v>34554.384794644364</v>
      </c>
      <c r="BD60" s="82">
        <f t="shared" si="27"/>
        <v>27009</v>
      </c>
      <c r="BE60" s="82">
        <f t="shared" si="27"/>
        <v>26482</v>
      </c>
      <c r="BF60" s="82">
        <f t="shared" si="27"/>
        <v>25274</v>
      </c>
    </row>
    <row r="61" spans="2:60" s="4" customFormat="1">
      <c r="B61" s="130" t="s">
        <v>612</v>
      </c>
      <c r="C61" s="127">
        <f>SAP!D162</f>
        <v>7.5656204871574273</v>
      </c>
      <c r="D61" s="131" t="str">
        <f>IF(IF(D$39&lt;=$C61,D$26,(((D$39-$C61)/SAP!$C$10)*'C&amp;B'!$D$13/SAP!$C$143)+D$26)&lt;=SAP!$F$151,IF(D$39&lt;=$C61,D$26,(((D$39-$C61)/SAP!$C$10)*'C&amp;B'!$D$13/SAP!$C$143)+D$26),"Not Possible")</f>
        <v>Not Possible</v>
      </c>
      <c r="E61" s="131" t="str">
        <f>IF(IF(E$39&lt;=$C61,E$26,(((E$39-$C61)/SAP!$C$10)*'C&amp;B'!$D$13/SAP!$C$143)+E$26)&lt;=SAP!$F$151,IF(E$39&lt;=$C61,E$26,(((E$39-$C61)/SAP!$C$10)*'C&amp;B'!$D$13/SAP!$C$143)+E$26),"Not Possible")</f>
        <v>Not Possible</v>
      </c>
      <c r="F61" s="131">
        <f>IF(IF(F$39&lt;=$C61,F$26,(((F$39-$C61)/SAP!$C$10)*'C&amp;B'!$D$13/SAP!$C$143)+F$26)&lt;=SAP!$F$151,IF(F$39&lt;=$C61,F$26,(((F$39-$C61)/SAP!$C$10)*'C&amp;B'!$D$13/SAP!$C$143)+F$26),"Not Possible")</f>
        <v>0</v>
      </c>
      <c r="G61" s="131" t="str">
        <f>IF(IF(G$39&lt;=$C61,G$26,(((G$39-$C61)/SAP!$C$10)*'C&amp;B'!$D$13/SAP!$C$143)+G$26)&lt;=SAP!$F$151,IF(G$39&lt;=$C61,G$26,(((G$39-$C61)/SAP!$C$10)*'C&amp;B'!$D$13/SAP!$C$143)+G$26),"Not Possible")</f>
        <v>Not Possible</v>
      </c>
      <c r="H61" s="131">
        <f>IF(IF(H$39&lt;=$C61,H$26,(((H$39-$C61)/SAP!$C$10)*'C&amp;B'!$D$13/SAP!$C$143)+H$26)&lt;=SAP!$F$151,IF(H$39&lt;=$C61,H$26,(((H$39-$C61)/SAP!$C$10)*'C&amp;B'!$D$13/SAP!$C$143)+H$26),"Not Possible")</f>
        <v>0</v>
      </c>
      <c r="I61" s="131">
        <f>IF(IF(I$39&lt;=$C61,I$26,(((I$39-$C61)/SAP!$C$10)*'C&amp;B'!$D$13/SAP!$C$143)+I$26)&lt;=SAP!$F$151,IF(I$39&lt;=$C61,I$26,(((I$39-$C61)/SAP!$C$10)*'C&amp;B'!$D$13/SAP!$C$143)+I$26),"Not Possible")</f>
        <v>3.9494433321257181</v>
      </c>
      <c r="J61" s="131">
        <f>IF(IF(J$39&lt;=$C61,J$26,(((J$39-$C61)/SAP!$C$10)*'C&amp;B'!$D$13/SAP!$C$143)+J$26)&lt;=SAP!$F$151,IF(J$39&lt;=$C61,J$26,(((J$39-$C61)/SAP!$C$10)*'C&amp;B'!$D$13/SAP!$C$143)+J$26),"Not Possible")</f>
        <v>0</v>
      </c>
      <c r="K61" s="131" t="str">
        <f>IF(IF(K$39&lt;=$C61,K$26,(((K$39-$C61)/SAP!$C$10)*'C&amp;B'!$D$13/SAP!$C$143)+K$26)&lt;=SAP!$F$151,IF(K$39&lt;=$C61,K$26,(((K$39-$C61)/SAP!$C$10)*'C&amp;B'!$D$13/SAP!$C$143)+K$26),"Not Possible")</f>
        <v>Not Possible</v>
      </c>
      <c r="L61" s="131">
        <f>IF(IF(L$39&lt;=$C61,L$26,(((L$39-$C61)/SAP!$C$10)*'C&amp;B'!$D$13/SAP!$C$143)+L$26)&lt;=SAP!$F$151,IF(L$39&lt;=$C61,L$26,(((L$39-$C61)/SAP!$C$10)*'C&amp;B'!$D$13/SAP!$C$143)+L$26),"Not Possible")</f>
        <v>0</v>
      </c>
      <c r="M61" s="131" t="str">
        <f>IF(IF(M$39&lt;=$C61,M$26,(((M$39-$C61)/SAP!$C$10)*'C&amp;B'!$D$13/SAP!$C$143)+M$26)&lt;=SAP!$F$151,IF(M$39&lt;=$C61,M$26,(((M$39-$C61)/SAP!$C$10)*'C&amp;B'!$D$13/SAP!$C$143)+M$26),"Not Possible")</f>
        <v>Not Possible</v>
      </c>
      <c r="N61" s="131">
        <f>IF(IF(N$39&lt;=$C61,N$26,(((N$39-$C61)/SAP!$C$10)*'C&amp;B'!$D$13/SAP!$C$143)+N$26)&lt;=SAP!$F$151,IF(N$39&lt;=$C61,N$26,(((N$39-$C61)/SAP!$C$10)*'C&amp;B'!$D$13/SAP!$C$143)+N$26),"Not Possible")</f>
        <v>0</v>
      </c>
      <c r="O61" s="131">
        <f>IF(IF(O$39&lt;=$C61,O$26,(((O$39-$C61)/SAP!$C$10)*'C&amp;B'!$D$13/SAP!$C$143)+O$26)&lt;=SAP!$F$151,IF(O$39&lt;=$C61,O$26,(((O$39-$C61)/SAP!$C$10)*'C&amp;B'!$D$13/SAP!$C$143)+O$26),"Not Possible")</f>
        <v>3.578808506490434</v>
      </c>
      <c r="P61" s="131">
        <f>IF(IF(P$39&lt;=$C61,P$26,(((P$39-$C61)/SAP!$C$10)*'C&amp;B'!$D$13/SAP!$C$143)+P$26)&lt;=SAP!$F$151,IF(P$39&lt;=$C61,P$26,(((P$39-$C61)/SAP!$C$10)*'C&amp;B'!$D$13/SAP!$C$143)+P$26),"Not Possible")</f>
        <v>0</v>
      </c>
      <c r="Q61" s="131">
        <f>IF(IF(Q$39&lt;=$C61,Q$26,(((Q$39-$C61)/SAP!$C$10)*'C&amp;B'!$D$13/SAP!$C$143)+Q$26)&lt;=SAP!$F$151,IF(Q$39&lt;=$C61,Q$26,(((Q$39-$C61)/SAP!$C$10)*'C&amp;B'!$D$13/SAP!$C$143)+Q$26),"Not Possible")</f>
        <v>2.8704877930650134</v>
      </c>
      <c r="R61" s="131">
        <f>IF(IF(R$39&lt;=$C61,R$26,(((R$39-$C61)/SAP!$C$10)*'C&amp;B'!$D$13/SAP!$C$143)+R$26)&lt;=SAP!$F$151,IF(R$39&lt;=$C61,R$26,(((R$39-$C61)/SAP!$C$10)*'C&amp;B'!$D$13/SAP!$C$143)+R$26),"Not Possible")</f>
        <v>0</v>
      </c>
      <c r="S61" s="131">
        <f>IF(IF(S$39&lt;=$C61,S$26,(((S$39-$C61)/SAP!$C$10)*'C&amp;B'!$D$13/SAP!$C$143)+S$26)&lt;=SAP!$F$151,IF(S$39&lt;=$C61,S$26,(((S$39-$C61)/SAP!$C$10)*'C&amp;B'!$D$13/SAP!$C$143)+S$26),"Not Possible")</f>
        <v>0</v>
      </c>
      <c r="T61" s="131">
        <f>IF(IF(T$39&lt;=$C61,T$26,(((T$39-$C61)/SAP!$C$10)*'C&amp;B'!$D$13/SAP!$C$143)+T$26)&lt;=SAP!$F$151,IF(T$39&lt;=$C61,T$26,(((T$39-$C61)/SAP!$C$10)*'C&amp;B'!$D$13/SAP!$C$143)+T$26),"Not Possible")</f>
        <v>0</v>
      </c>
      <c r="V61" s="130" t="s">
        <v>612</v>
      </c>
      <c r="W61" s="82" t="e">
        <f>IF(D61=0,0,IF(D61&lt;4,'C&amp;B'!$E$316+(D61*'C&amp;B'!$E$317),D61*'C&amp;B'!$E$318))</f>
        <v>#VALUE!</v>
      </c>
      <c r="X61" s="82" t="e">
        <f>IF(E61=0,0,IF(E61&lt;4,'C&amp;B'!$E$316+(E61*'C&amp;B'!$E$317),E61*'C&amp;B'!$E$318))</f>
        <v>#VALUE!</v>
      </c>
      <c r="Y61" s="82">
        <f>IF(F61=0,0,IF(F61&lt;4,'C&amp;B'!$E$316+(F61*'C&amp;B'!$E$317),F61*'C&amp;B'!$E$318))</f>
        <v>0</v>
      </c>
      <c r="Z61" s="82" t="e">
        <f>IF(G61=0,0,IF(G61&lt;4,'C&amp;B'!$E$316+(G61*'C&amp;B'!$E$317),G61*'C&amp;B'!$E$318))</f>
        <v>#VALUE!</v>
      </c>
      <c r="AA61" s="82">
        <f>IF(H61=0,0,IF(H61&lt;4,'C&amp;B'!$E$316+(H61*'C&amp;B'!$E$317),H61*'C&amp;B'!$E$318))</f>
        <v>0</v>
      </c>
      <c r="AB61" s="82">
        <f>IF(I61=0,0,IF(I61&lt;4,'C&amp;B'!$E$316+(I61*'C&amp;B'!$E$317),I61*'C&amp;B'!$E$318))</f>
        <v>3469.6659992754307</v>
      </c>
      <c r="AC61" s="82">
        <f>IF(J61=0,0,IF(J61&lt;4,'C&amp;B'!$E$316+(J61*'C&amp;B'!$E$317),J61*'C&amp;B'!$E$318))</f>
        <v>0</v>
      </c>
      <c r="AD61" s="82" t="e">
        <f>IF(K61=0,0,IF(K61&lt;4,'C&amp;B'!$E$316+(K61*'C&amp;B'!$E$317),K61*'C&amp;B'!$E$318))</f>
        <v>#VALUE!</v>
      </c>
      <c r="AE61" s="82">
        <f>IF(L61=0,0,IF(L61&lt;4,'C&amp;B'!$E$316+(L61*'C&amp;B'!$E$317),L61*'C&amp;B'!$E$318))</f>
        <v>0</v>
      </c>
      <c r="AF61" s="82" t="e">
        <f>IF(M61=0,0,IF(M61&lt;4,'C&amp;B'!$E$316+(M61*'C&amp;B'!$E$317),M61*'C&amp;B'!$E$318))</f>
        <v>#VALUE!</v>
      </c>
      <c r="AG61" s="82">
        <f>IF(N61=0,0,IF(N61&lt;4,'C&amp;B'!$E$316+(N61*'C&amp;B'!$E$317),N61*'C&amp;B'!$E$318))</f>
        <v>0</v>
      </c>
      <c r="AH61" s="82">
        <f>IF(O61=0,0,IF(O61&lt;4,'C&amp;B'!$E$316+(O61*'C&amp;B'!$E$317),O61*'C&amp;B'!$E$318))</f>
        <v>3247.2851038942604</v>
      </c>
      <c r="AI61" s="82">
        <f>IF(P61=0,0,IF(P61&lt;4,'C&amp;B'!$E$316+(P61*'C&amp;B'!$E$317),P61*'C&amp;B'!$E$318))</f>
        <v>0</v>
      </c>
      <c r="AJ61" s="82">
        <f>IF(Q61=0,0,IF(Q61&lt;4,'C&amp;B'!$E$316+(Q61*'C&amp;B'!$E$317),Q61*'C&amp;B'!$E$318))</f>
        <v>2822.2926758390081</v>
      </c>
      <c r="AK61" s="82">
        <f>IF(R61=0,0,IF(R61&lt;4,'C&amp;B'!$E$316+(R61*'C&amp;B'!$E$317),R61*'C&amp;B'!$E$318))</f>
        <v>0</v>
      </c>
      <c r="AL61" s="82">
        <f>IF(S61=0,0,IF(S61&lt;4,'C&amp;B'!$E$316+(S61*'C&amp;B'!$E$317),S61*'C&amp;B'!$E$318))</f>
        <v>0</v>
      </c>
      <c r="AM61" s="82">
        <f>IF(T61=0,0,IF(T61&lt;4,'C&amp;B'!$E$316+(T61*'C&amp;B'!$E$317),T61*'C&amp;B'!$E$318))</f>
        <v>0</v>
      </c>
      <c r="AO61" s="130" t="s">
        <v>612</v>
      </c>
      <c r="AP61" s="82" t="e">
        <f t="shared" si="28"/>
        <v>#VALUE!</v>
      </c>
      <c r="AQ61" s="82" t="e">
        <f t="shared" si="27"/>
        <v>#VALUE!</v>
      </c>
      <c r="AR61" s="82">
        <f t="shared" si="27"/>
        <v>25538</v>
      </c>
      <c r="AS61" s="82" t="e">
        <f t="shared" si="27"/>
        <v>#VALUE!</v>
      </c>
      <c r="AT61" s="82">
        <f t="shared" si="27"/>
        <v>25328</v>
      </c>
      <c r="AU61" s="82">
        <f t="shared" si="27"/>
        <v>35319.665999275428</v>
      </c>
      <c r="AV61" s="82">
        <f t="shared" si="27"/>
        <v>26683</v>
      </c>
      <c r="AW61" s="82" t="e">
        <f t="shared" si="27"/>
        <v>#VALUE!</v>
      </c>
      <c r="AX61" s="82">
        <f t="shared" si="27"/>
        <v>25328</v>
      </c>
      <c r="AY61" s="82" t="e">
        <f t="shared" si="27"/>
        <v>#VALUE!</v>
      </c>
      <c r="AZ61" s="82">
        <f t="shared" si="27"/>
        <v>25956</v>
      </c>
      <c r="BA61" s="82">
        <f t="shared" si="27"/>
        <v>35097.285103894261</v>
      </c>
      <c r="BB61" s="82">
        <f t="shared" si="27"/>
        <v>26683</v>
      </c>
      <c r="BC61" s="82">
        <f t="shared" si="27"/>
        <v>34998.292675839009</v>
      </c>
      <c r="BD61" s="82">
        <f t="shared" si="27"/>
        <v>27009</v>
      </c>
      <c r="BE61" s="82">
        <f t="shared" si="27"/>
        <v>26482</v>
      </c>
      <c r="BF61" s="82">
        <f t="shared" si="27"/>
        <v>25274</v>
      </c>
    </row>
    <row r="62" spans="2:60" s="4" customFormat="1">
      <c r="B62" s="130" t="s">
        <v>613</v>
      </c>
      <c r="C62" s="127">
        <f>SAP!D163</f>
        <v>6.4848175604206526</v>
      </c>
      <c r="D62" s="131" t="str">
        <f>IF(IF(D$39&lt;=$C62,D$26,(((D$39-$C62)/SAP!$C$10)*'C&amp;B'!$D$13/SAP!$C$143)+D$26)&lt;=SAP!$F$151,IF(D$39&lt;=$C62,D$26,(((D$39-$C62)/SAP!$C$10)*'C&amp;B'!$D$13/SAP!$C$143)+D$26),"Not Possible")</f>
        <v>Not Possible</v>
      </c>
      <c r="E62" s="131" t="str">
        <f>IF(IF(E$39&lt;=$C62,E$26,(((E$39-$C62)/SAP!$C$10)*'C&amp;B'!$D$13/SAP!$C$143)+E$26)&lt;=SAP!$F$151,IF(E$39&lt;=$C62,E$26,(((E$39-$C62)/SAP!$C$10)*'C&amp;B'!$D$13/SAP!$C$143)+E$26),"Not Possible")</f>
        <v>Not Possible</v>
      </c>
      <c r="F62" s="131">
        <f>IF(IF(F$39&lt;=$C62,F$26,(((F$39-$C62)/SAP!$C$10)*'C&amp;B'!$D$13/SAP!$C$143)+F$26)&lt;=SAP!$F$151,IF(F$39&lt;=$C62,F$26,(((F$39-$C62)/SAP!$C$10)*'C&amp;B'!$D$13/SAP!$C$143)+F$26),"Not Possible")</f>
        <v>0</v>
      </c>
      <c r="G62" s="131" t="str">
        <f>IF(IF(G$39&lt;=$C62,G$26,(((G$39-$C62)/SAP!$C$10)*'C&amp;B'!$D$13/SAP!$C$143)+G$26)&lt;=SAP!$F$151,IF(G$39&lt;=$C62,G$26,(((G$39-$C62)/SAP!$C$10)*'C&amp;B'!$D$13/SAP!$C$143)+G$26),"Not Possible")</f>
        <v>Not Possible</v>
      </c>
      <c r="H62" s="131">
        <f>IF(IF(H$39&lt;=$C62,H$26,(((H$39-$C62)/SAP!$C$10)*'C&amp;B'!$D$13/SAP!$C$143)+H$26)&lt;=SAP!$F$151,IF(H$39&lt;=$C62,H$26,(((H$39-$C62)/SAP!$C$10)*'C&amp;B'!$D$13/SAP!$C$143)+H$26),"Not Possible")</f>
        <v>0</v>
      </c>
      <c r="I62" s="131" t="str">
        <f>IF(IF(I$39&lt;=$C62,I$26,(((I$39-$C62)/SAP!$C$10)*'C&amp;B'!$D$13/SAP!$C$143)+I$26)&lt;=SAP!$F$151,IF(I$39&lt;=$C62,I$26,(((I$39-$C62)/SAP!$C$10)*'C&amp;B'!$D$13/SAP!$C$143)+I$26),"Not Possible")</f>
        <v>Not Possible</v>
      </c>
      <c r="J62" s="131">
        <f>IF(IF(J$39&lt;=$C62,J$26,(((J$39-$C62)/SAP!$C$10)*'C&amp;B'!$D$13/SAP!$C$143)+J$26)&lt;=SAP!$F$151,IF(J$39&lt;=$C62,J$26,(((J$39-$C62)/SAP!$C$10)*'C&amp;B'!$D$13/SAP!$C$143)+J$26),"Not Possible")</f>
        <v>0</v>
      </c>
      <c r="K62" s="131" t="str">
        <f>IF(IF(K$39&lt;=$C62,K$26,(((K$39-$C62)/SAP!$C$10)*'C&amp;B'!$D$13/SAP!$C$143)+K$26)&lt;=SAP!$F$151,IF(K$39&lt;=$C62,K$26,(((K$39-$C62)/SAP!$C$10)*'C&amp;B'!$D$13/SAP!$C$143)+K$26),"Not Possible")</f>
        <v>Not Possible</v>
      </c>
      <c r="L62" s="131">
        <f>IF(IF(L$39&lt;=$C62,L$26,(((L$39-$C62)/SAP!$C$10)*'C&amp;B'!$D$13/SAP!$C$143)+L$26)&lt;=SAP!$F$151,IF(L$39&lt;=$C62,L$26,(((L$39-$C62)/SAP!$C$10)*'C&amp;B'!$D$13/SAP!$C$143)+L$26),"Not Possible")</f>
        <v>0</v>
      </c>
      <c r="M62" s="131" t="str">
        <f>IF(IF(M$39&lt;=$C62,M$26,(((M$39-$C62)/SAP!$C$10)*'C&amp;B'!$D$13/SAP!$C$143)+M$26)&lt;=SAP!$F$151,IF(M$39&lt;=$C62,M$26,(((M$39-$C62)/SAP!$C$10)*'C&amp;B'!$D$13/SAP!$C$143)+M$26),"Not Possible")</f>
        <v>Not Possible</v>
      </c>
      <c r="N62" s="131">
        <f>IF(IF(N$39&lt;=$C62,N$26,(((N$39-$C62)/SAP!$C$10)*'C&amp;B'!$D$13/SAP!$C$143)+N$26)&lt;=SAP!$F$151,IF(N$39&lt;=$C62,N$26,(((N$39-$C62)/SAP!$C$10)*'C&amp;B'!$D$13/SAP!$C$143)+N$26),"Not Possible")</f>
        <v>0</v>
      </c>
      <c r="O62" s="131" t="str">
        <f>IF(IF(O$39&lt;=$C62,O$26,(((O$39-$C62)/SAP!$C$10)*'C&amp;B'!$D$13/SAP!$C$143)+O$26)&lt;=SAP!$F$151,IF(O$39&lt;=$C62,O$26,(((O$39-$C62)/SAP!$C$10)*'C&amp;B'!$D$13/SAP!$C$143)+O$26),"Not Possible")</f>
        <v>Not Possible</v>
      </c>
      <c r="P62" s="131">
        <f>IF(IF(P$39&lt;=$C62,P$26,(((P$39-$C62)/SAP!$C$10)*'C&amp;B'!$D$13/SAP!$C$143)+P$26)&lt;=SAP!$F$151,IF(P$39&lt;=$C62,P$26,(((P$39-$C62)/SAP!$C$10)*'C&amp;B'!$D$13/SAP!$C$143)+P$26),"Not Possible")</f>
        <v>0</v>
      </c>
      <c r="Q62" s="131">
        <f>IF(IF(Q$39&lt;=$C62,Q$26,(((Q$39-$C62)/SAP!$C$10)*'C&amp;B'!$D$13/SAP!$C$143)+Q$26)&lt;=SAP!$F$151,IF(Q$39&lt;=$C62,Q$26,(((Q$39-$C62)/SAP!$C$10)*'C&amp;B'!$D$13/SAP!$C$143)+Q$26),"Not Possible")</f>
        <v>3.6103342617227536</v>
      </c>
      <c r="R62" s="131">
        <f>IF(IF(R$39&lt;=$C62,R$26,(((R$39-$C62)/SAP!$C$10)*'C&amp;B'!$D$13/SAP!$C$143)+R$26)&lt;=SAP!$F$151,IF(R$39&lt;=$C62,R$26,(((R$39-$C62)/SAP!$C$10)*'C&amp;B'!$D$13/SAP!$C$143)+R$26),"Not Possible")</f>
        <v>0</v>
      </c>
      <c r="S62" s="131">
        <f>IF(IF(S$39&lt;=$C62,S$26,(((S$39-$C62)/SAP!$C$10)*'C&amp;B'!$D$13/SAP!$C$143)+S$26)&lt;=SAP!$F$151,IF(S$39&lt;=$C62,S$26,(((S$39-$C62)/SAP!$C$10)*'C&amp;B'!$D$13/SAP!$C$143)+S$26),"Not Possible")</f>
        <v>0</v>
      </c>
      <c r="T62" s="131">
        <f>IF(IF(T$39&lt;=$C62,T$26,(((T$39-$C62)/SAP!$C$10)*'C&amp;B'!$D$13/SAP!$C$143)+T$26)&lt;=SAP!$F$151,IF(T$39&lt;=$C62,T$26,(((T$39-$C62)/SAP!$C$10)*'C&amp;B'!$D$13/SAP!$C$143)+T$26),"Not Possible")</f>
        <v>0</v>
      </c>
      <c r="V62" s="130" t="s">
        <v>613</v>
      </c>
      <c r="W62" s="82" t="e">
        <f>IF(D62=0,0,IF(D62&lt;4,'C&amp;B'!$E$316+(D62*'C&amp;B'!$E$317),D62*'C&amp;B'!$E$318))</f>
        <v>#VALUE!</v>
      </c>
      <c r="X62" s="82" t="e">
        <f>IF(E62=0,0,IF(E62&lt;4,'C&amp;B'!$E$316+(E62*'C&amp;B'!$E$317),E62*'C&amp;B'!$E$318))</f>
        <v>#VALUE!</v>
      </c>
      <c r="Y62" s="82">
        <f>IF(F62=0,0,IF(F62&lt;4,'C&amp;B'!$E$316+(F62*'C&amp;B'!$E$317),F62*'C&amp;B'!$E$318))</f>
        <v>0</v>
      </c>
      <c r="Z62" s="82" t="e">
        <f>IF(G62=0,0,IF(G62&lt;4,'C&amp;B'!$E$316+(G62*'C&amp;B'!$E$317),G62*'C&amp;B'!$E$318))</f>
        <v>#VALUE!</v>
      </c>
      <c r="AA62" s="82">
        <f>IF(H62=0,0,IF(H62&lt;4,'C&amp;B'!$E$316+(H62*'C&amp;B'!$E$317),H62*'C&amp;B'!$E$318))</f>
        <v>0</v>
      </c>
      <c r="AB62" s="82" t="e">
        <f>IF(I62=0,0,IF(I62&lt;4,'C&amp;B'!$E$316+(I62*'C&amp;B'!$E$317),I62*'C&amp;B'!$E$318))</f>
        <v>#VALUE!</v>
      </c>
      <c r="AC62" s="82">
        <f>IF(J62=0,0,IF(J62&lt;4,'C&amp;B'!$E$316+(J62*'C&amp;B'!$E$317),J62*'C&amp;B'!$E$318))</f>
        <v>0</v>
      </c>
      <c r="AD62" s="82" t="e">
        <f>IF(K62=0,0,IF(K62&lt;4,'C&amp;B'!$E$316+(K62*'C&amp;B'!$E$317),K62*'C&amp;B'!$E$318))</f>
        <v>#VALUE!</v>
      </c>
      <c r="AE62" s="82">
        <f>IF(L62=0,0,IF(L62&lt;4,'C&amp;B'!$E$316+(L62*'C&amp;B'!$E$317),L62*'C&amp;B'!$E$318))</f>
        <v>0</v>
      </c>
      <c r="AF62" s="82" t="e">
        <f>IF(M62=0,0,IF(M62&lt;4,'C&amp;B'!$E$316+(M62*'C&amp;B'!$E$317),M62*'C&amp;B'!$E$318))</f>
        <v>#VALUE!</v>
      </c>
      <c r="AG62" s="82">
        <f>IF(N62=0,0,IF(N62&lt;4,'C&amp;B'!$E$316+(N62*'C&amp;B'!$E$317),N62*'C&amp;B'!$E$318))</f>
        <v>0</v>
      </c>
      <c r="AH62" s="82" t="e">
        <f>IF(O62=0,0,IF(O62&lt;4,'C&amp;B'!$E$316+(O62*'C&amp;B'!$E$317),O62*'C&amp;B'!$E$318))</f>
        <v>#VALUE!</v>
      </c>
      <c r="AI62" s="82">
        <f>IF(P62=0,0,IF(P62&lt;4,'C&amp;B'!$E$316+(P62*'C&amp;B'!$E$317),P62*'C&amp;B'!$E$318))</f>
        <v>0</v>
      </c>
      <c r="AJ62" s="82">
        <f>IF(Q62=0,0,IF(Q62&lt;4,'C&amp;B'!$E$316+(Q62*'C&amp;B'!$E$317),Q62*'C&amp;B'!$E$318))</f>
        <v>3266.2005570336523</v>
      </c>
      <c r="AK62" s="82">
        <f>IF(R62=0,0,IF(R62&lt;4,'C&amp;B'!$E$316+(R62*'C&amp;B'!$E$317),R62*'C&amp;B'!$E$318))</f>
        <v>0</v>
      </c>
      <c r="AL62" s="82">
        <f>IF(S62=0,0,IF(S62&lt;4,'C&amp;B'!$E$316+(S62*'C&amp;B'!$E$317),S62*'C&amp;B'!$E$318))</f>
        <v>0</v>
      </c>
      <c r="AM62" s="82">
        <f>IF(T62=0,0,IF(T62&lt;4,'C&amp;B'!$E$316+(T62*'C&amp;B'!$E$317),T62*'C&amp;B'!$E$318))</f>
        <v>0</v>
      </c>
      <c r="AO62" s="130" t="s">
        <v>613</v>
      </c>
      <c r="AP62" s="82" t="e">
        <f t="shared" si="28"/>
        <v>#VALUE!</v>
      </c>
      <c r="AQ62" s="82" t="e">
        <f t="shared" si="27"/>
        <v>#VALUE!</v>
      </c>
      <c r="AR62" s="82">
        <f t="shared" si="27"/>
        <v>25538</v>
      </c>
      <c r="AS62" s="82" t="e">
        <f t="shared" si="27"/>
        <v>#VALUE!</v>
      </c>
      <c r="AT62" s="82">
        <f t="shared" si="27"/>
        <v>25328</v>
      </c>
      <c r="AU62" s="82" t="e">
        <f t="shared" si="27"/>
        <v>#VALUE!</v>
      </c>
      <c r="AV62" s="82">
        <f t="shared" si="27"/>
        <v>26683</v>
      </c>
      <c r="AW62" s="82" t="e">
        <f t="shared" si="27"/>
        <v>#VALUE!</v>
      </c>
      <c r="AX62" s="82">
        <f t="shared" si="27"/>
        <v>25328</v>
      </c>
      <c r="AY62" s="82" t="e">
        <f t="shared" si="27"/>
        <v>#VALUE!</v>
      </c>
      <c r="AZ62" s="82">
        <f t="shared" si="27"/>
        <v>25956</v>
      </c>
      <c r="BA62" s="82" t="e">
        <f t="shared" si="27"/>
        <v>#VALUE!</v>
      </c>
      <c r="BB62" s="82">
        <f t="shared" si="27"/>
        <v>26683</v>
      </c>
      <c r="BC62" s="82">
        <f t="shared" si="27"/>
        <v>35442.200557033655</v>
      </c>
      <c r="BD62" s="82">
        <f t="shared" si="27"/>
        <v>27009</v>
      </c>
      <c r="BE62" s="82">
        <f t="shared" si="27"/>
        <v>26482</v>
      </c>
      <c r="BF62" s="82">
        <f t="shared" si="27"/>
        <v>25274</v>
      </c>
    </row>
    <row r="63" spans="2:60" s="4" customFormat="1">
      <c r="B63" s="130" t="s">
        <v>614</v>
      </c>
      <c r="C63" s="127">
        <f>SAP!D164</f>
        <v>5.404014633683877</v>
      </c>
      <c r="D63" s="131" t="str">
        <f>IF(IF(D$39&lt;=$C63,D$26,(((D$39-$C63)/SAP!$C$10)*'C&amp;B'!$D$13/SAP!$C$143)+D$26)&lt;=SAP!$F$151,IF(D$39&lt;=$C63,D$26,(((D$39-$C63)/SAP!$C$10)*'C&amp;B'!$D$13/SAP!$C$143)+D$26),"Not Possible")</f>
        <v>Not Possible</v>
      </c>
      <c r="E63" s="131" t="str">
        <f>IF(IF(E$39&lt;=$C63,E$26,(((E$39-$C63)/SAP!$C$10)*'C&amp;B'!$D$13/SAP!$C$143)+E$26)&lt;=SAP!$F$151,IF(E$39&lt;=$C63,E$26,(((E$39-$C63)/SAP!$C$10)*'C&amp;B'!$D$13/SAP!$C$143)+E$26),"Not Possible")</f>
        <v>Not Possible</v>
      </c>
      <c r="F63" s="131">
        <f>IF(IF(F$39&lt;=$C63,F$26,(((F$39-$C63)/SAP!$C$10)*'C&amp;B'!$D$13/SAP!$C$143)+F$26)&lt;=SAP!$F$151,IF(F$39&lt;=$C63,F$26,(((F$39-$C63)/SAP!$C$10)*'C&amp;B'!$D$13/SAP!$C$143)+F$26),"Not Possible")</f>
        <v>0</v>
      </c>
      <c r="G63" s="131" t="str">
        <f>IF(IF(G$39&lt;=$C63,G$26,(((G$39-$C63)/SAP!$C$10)*'C&amp;B'!$D$13/SAP!$C$143)+G$26)&lt;=SAP!$F$151,IF(G$39&lt;=$C63,G$26,(((G$39-$C63)/SAP!$C$10)*'C&amp;B'!$D$13/SAP!$C$143)+G$26),"Not Possible")</f>
        <v>Not Possible</v>
      </c>
      <c r="H63" s="131">
        <f>IF(IF(H$39&lt;=$C63,H$26,(((H$39-$C63)/SAP!$C$10)*'C&amp;B'!$D$13/SAP!$C$143)+H$26)&lt;=SAP!$F$151,IF(H$39&lt;=$C63,H$26,(((H$39-$C63)/SAP!$C$10)*'C&amp;B'!$D$13/SAP!$C$143)+H$26),"Not Possible")</f>
        <v>0</v>
      </c>
      <c r="I63" s="131" t="str">
        <f>IF(IF(I$39&lt;=$C63,I$26,(((I$39-$C63)/SAP!$C$10)*'C&amp;B'!$D$13/SAP!$C$143)+I$26)&lt;=SAP!$F$151,IF(I$39&lt;=$C63,I$26,(((I$39-$C63)/SAP!$C$10)*'C&amp;B'!$D$13/SAP!$C$143)+I$26),"Not Possible")</f>
        <v>Not Possible</v>
      </c>
      <c r="J63" s="131">
        <f>IF(IF(J$39&lt;=$C63,J$26,(((J$39-$C63)/SAP!$C$10)*'C&amp;B'!$D$13/SAP!$C$143)+J$26)&lt;=SAP!$F$151,IF(J$39&lt;=$C63,J$26,(((J$39-$C63)/SAP!$C$10)*'C&amp;B'!$D$13/SAP!$C$143)+J$26),"Not Possible")</f>
        <v>0</v>
      </c>
      <c r="K63" s="131" t="str">
        <f>IF(IF(K$39&lt;=$C63,K$26,(((K$39-$C63)/SAP!$C$10)*'C&amp;B'!$D$13/SAP!$C$143)+K$26)&lt;=SAP!$F$151,IF(K$39&lt;=$C63,K$26,(((K$39-$C63)/SAP!$C$10)*'C&amp;B'!$D$13/SAP!$C$143)+K$26),"Not Possible")</f>
        <v>Not Possible</v>
      </c>
      <c r="L63" s="131">
        <f>IF(IF(L$39&lt;=$C63,L$26,(((L$39-$C63)/SAP!$C$10)*'C&amp;B'!$D$13/SAP!$C$143)+L$26)&lt;=SAP!$F$151,IF(L$39&lt;=$C63,L$26,(((L$39-$C63)/SAP!$C$10)*'C&amp;B'!$D$13/SAP!$C$143)+L$26),"Not Possible")</f>
        <v>0</v>
      </c>
      <c r="M63" s="131" t="str">
        <f>IF(IF(M$39&lt;=$C63,M$26,(((M$39-$C63)/SAP!$C$10)*'C&amp;B'!$D$13/SAP!$C$143)+M$26)&lt;=SAP!$F$151,IF(M$39&lt;=$C63,M$26,(((M$39-$C63)/SAP!$C$10)*'C&amp;B'!$D$13/SAP!$C$143)+M$26),"Not Possible")</f>
        <v>Not Possible</v>
      </c>
      <c r="N63" s="131">
        <f>IF(IF(N$39&lt;=$C63,N$26,(((N$39-$C63)/SAP!$C$10)*'C&amp;B'!$D$13/SAP!$C$143)+N$26)&lt;=SAP!$F$151,IF(N$39&lt;=$C63,N$26,(((N$39-$C63)/SAP!$C$10)*'C&amp;B'!$D$13/SAP!$C$143)+N$26),"Not Possible")</f>
        <v>0</v>
      </c>
      <c r="O63" s="131" t="str">
        <f>IF(IF(O$39&lt;=$C63,O$26,(((O$39-$C63)/SAP!$C$10)*'C&amp;B'!$D$13/SAP!$C$143)+O$26)&lt;=SAP!$F$151,IF(O$39&lt;=$C63,O$26,(((O$39-$C63)/SAP!$C$10)*'C&amp;B'!$D$13/SAP!$C$143)+O$26),"Not Possible")</f>
        <v>Not Possible</v>
      </c>
      <c r="P63" s="131">
        <f>IF(IF(P$39&lt;=$C63,P$26,(((P$39-$C63)/SAP!$C$10)*'C&amp;B'!$D$13/SAP!$C$143)+P$26)&lt;=SAP!$F$151,IF(P$39&lt;=$C63,P$26,(((P$39-$C63)/SAP!$C$10)*'C&amp;B'!$D$13/SAP!$C$143)+P$26),"Not Possible")</f>
        <v>0</v>
      </c>
      <c r="Q63" s="131" t="str">
        <f>IF(IF(Q$39&lt;=$C63,Q$26,(((Q$39-$C63)/SAP!$C$10)*'C&amp;B'!$D$13/SAP!$C$143)+Q$26)&lt;=SAP!$F$151,IF(Q$39&lt;=$C63,Q$26,(((Q$39-$C63)/SAP!$C$10)*'C&amp;B'!$D$13/SAP!$C$143)+Q$26),"Not Possible")</f>
        <v>Not Possible</v>
      </c>
      <c r="R63" s="131">
        <f>IF(IF(R$39&lt;=$C63,R$26,(((R$39-$C63)/SAP!$C$10)*'C&amp;B'!$D$13/SAP!$C$143)+R$26)&lt;=SAP!$F$151,IF(R$39&lt;=$C63,R$26,(((R$39-$C63)/SAP!$C$10)*'C&amp;B'!$D$13/SAP!$C$143)+R$26),"Not Possible")</f>
        <v>0</v>
      </c>
      <c r="S63" s="131">
        <f>IF(IF(S$39&lt;=$C63,S$26,(((S$39-$C63)/SAP!$C$10)*'C&amp;B'!$D$13/SAP!$C$143)+S$26)&lt;=SAP!$F$151,IF(S$39&lt;=$C63,S$26,(((S$39-$C63)/SAP!$C$10)*'C&amp;B'!$D$13/SAP!$C$143)+S$26),"Not Possible")</f>
        <v>0</v>
      </c>
      <c r="T63" s="131">
        <f>IF(IF(T$39&lt;=$C63,T$26,(((T$39-$C63)/SAP!$C$10)*'C&amp;B'!$D$13/SAP!$C$143)+T$26)&lt;=SAP!$F$151,IF(T$39&lt;=$C63,T$26,(((T$39-$C63)/SAP!$C$10)*'C&amp;B'!$D$13/SAP!$C$143)+T$26),"Not Possible")</f>
        <v>0</v>
      </c>
      <c r="V63" s="130" t="s">
        <v>614</v>
      </c>
      <c r="W63" s="82" t="e">
        <f>IF(D63=0,0,IF(D63&lt;4,'C&amp;B'!$E$316+(D63*'C&amp;B'!$E$317),D63*'C&amp;B'!$E$318))</f>
        <v>#VALUE!</v>
      </c>
      <c r="X63" s="82" t="e">
        <f>IF(E63=0,0,IF(E63&lt;4,'C&amp;B'!$E$316+(E63*'C&amp;B'!$E$317),E63*'C&amp;B'!$E$318))</f>
        <v>#VALUE!</v>
      </c>
      <c r="Y63" s="82">
        <f>IF(F63=0,0,IF(F63&lt;4,'C&amp;B'!$E$316+(F63*'C&amp;B'!$E$317),F63*'C&amp;B'!$E$318))</f>
        <v>0</v>
      </c>
      <c r="Z63" s="82" t="e">
        <f>IF(G63=0,0,IF(G63&lt;4,'C&amp;B'!$E$316+(G63*'C&amp;B'!$E$317),G63*'C&amp;B'!$E$318))</f>
        <v>#VALUE!</v>
      </c>
      <c r="AA63" s="82">
        <f>IF(H63=0,0,IF(H63&lt;4,'C&amp;B'!$E$316+(H63*'C&amp;B'!$E$317),H63*'C&amp;B'!$E$318))</f>
        <v>0</v>
      </c>
      <c r="AB63" s="82" t="e">
        <f>IF(I63=0,0,IF(I63&lt;4,'C&amp;B'!$E$316+(I63*'C&amp;B'!$E$317),I63*'C&amp;B'!$E$318))</f>
        <v>#VALUE!</v>
      </c>
      <c r="AC63" s="82">
        <f>IF(J63=0,0,IF(J63&lt;4,'C&amp;B'!$E$316+(J63*'C&amp;B'!$E$317),J63*'C&amp;B'!$E$318))</f>
        <v>0</v>
      </c>
      <c r="AD63" s="82" t="e">
        <f>IF(K63=0,0,IF(K63&lt;4,'C&amp;B'!$E$316+(K63*'C&amp;B'!$E$317),K63*'C&amp;B'!$E$318))</f>
        <v>#VALUE!</v>
      </c>
      <c r="AE63" s="82">
        <f>IF(L63=0,0,IF(L63&lt;4,'C&amp;B'!$E$316+(L63*'C&amp;B'!$E$317),L63*'C&amp;B'!$E$318))</f>
        <v>0</v>
      </c>
      <c r="AF63" s="82" t="e">
        <f>IF(M63=0,0,IF(M63&lt;4,'C&amp;B'!$E$316+(M63*'C&amp;B'!$E$317),M63*'C&amp;B'!$E$318))</f>
        <v>#VALUE!</v>
      </c>
      <c r="AG63" s="82">
        <f>IF(N63=0,0,IF(N63&lt;4,'C&amp;B'!$E$316+(N63*'C&amp;B'!$E$317),N63*'C&amp;B'!$E$318))</f>
        <v>0</v>
      </c>
      <c r="AH63" s="82" t="e">
        <f>IF(O63=0,0,IF(O63&lt;4,'C&amp;B'!$E$316+(O63*'C&amp;B'!$E$317),O63*'C&amp;B'!$E$318))</f>
        <v>#VALUE!</v>
      </c>
      <c r="AI63" s="82">
        <f>IF(P63=0,0,IF(P63&lt;4,'C&amp;B'!$E$316+(P63*'C&amp;B'!$E$317),P63*'C&amp;B'!$E$318))</f>
        <v>0</v>
      </c>
      <c r="AJ63" s="82" t="e">
        <f>IF(Q63=0,0,IF(Q63&lt;4,'C&amp;B'!$E$316+(Q63*'C&amp;B'!$E$317),Q63*'C&amp;B'!$E$318))</f>
        <v>#VALUE!</v>
      </c>
      <c r="AK63" s="82">
        <f>IF(R63=0,0,IF(R63&lt;4,'C&amp;B'!$E$316+(R63*'C&amp;B'!$E$317),R63*'C&amp;B'!$E$318))</f>
        <v>0</v>
      </c>
      <c r="AL63" s="82">
        <f>IF(S63=0,0,IF(S63&lt;4,'C&amp;B'!$E$316+(S63*'C&amp;B'!$E$317),S63*'C&amp;B'!$E$318))</f>
        <v>0</v>
      </c>
      <c r="AM63" s="82">
        <f>IF(T63=0,0,IF(T63&lt;4,'C&amp;B'!$E$316+(T63*'C&amp;B'!$E$317),T63*'C&amp;B'!$E$318))</f>
        <v>0</v>
      </c>
      <c r="AO63" s="130" t="s">
        <v>614</v>
      </c>
      <c r="AP63" s="82" t="e">
        <f t="shared" si="28"/>
        <v>#VALUE!</v>
      </c>
      <c r="AQ63" s="82" t="e">
        <f t="shared" si="27"/>
        <v>#VALUE!</v>
      </c>
      <c r="AR63" s="82">
        <f t="shared" si="27"/>
        <v>25538</v>
      </c>
      <c r="AS63" s="82" t="e">
        <f t="shared" si="27"/>
        <v>#VALUE!</v>
      </c>
      <c r="AT63" s="82">
        <f t="shared" si="27"/>
        <v>25328</v>
      </c>
      <c r="AU63" s="82" t="e">
        <f t="shared" si="27"/>
        <v>#VALUE!</v>
      </c>
      <c r="AV63" s="82">
        <f t="shared" si="27"/>
        <v>26683</v>
      </c>
      <c r="AW63" s="82" t="e">
        <f t="shared" si="27"/>
        <v>#VALUE!</v>
      </c>
      <c r="AX63" s="82">
        <f t="shared" si="27"/>
        <v>25328</v>
      </c>
      <c r="AY63" s="82" t="e">
        <f t="shared" si="27"/>
        <v>#VALUE!</v>
      </c>
      <c r="AZ63" s="82">
        <f t="shared" si="27"/>
        <v>25956</v>
      </c>
      <c r="BA63" s="82" t="e">
        <f t="shared" si="27"/>
        <v>#VALUE!</v>
      </c>
      <c r="BB63" s="82">
        <f t="shared" si="27"/>
        <v>26683</v>
      </c>
      <c r="BC63" s="82" t="e">
        <f t="shared" si="27"/>
        <v>#VALUE!</v>
      </c>
      <c r="BD63" s="82">
        <f t="shared" si="27"/>
        <v>27009</v>
      </c>
      <c r="BE63" s="82">
        <f t="shared" si="27"/>
        <v>26482</v>
      </c>
      <c r="BF63" s="82">
        <f t="shared" si="27"/>
        <v>25274</v>
      </c>
    </row>
    <row r="64" spans="2:60" s="4" customFormat="1">
      <c r="B64" s="130" t="s">
        <v>615</v>
      </c>
      <c r="C64" s="127">
        <f>SAP!D165</f>
        <v>0</v>
      </c>
      <c r="D64" s="131" t="str">
        <f>IF(IF(D$39&lt;=$C64,D$26,(((D$39-$C64)/SAP!$C$10)*'C&amp;B'!$D$13/SAP!$C$143)+D$26)&lt;=SAP!$F$151,IF(D$39&lt;=$C64,D$26,(((D$39-$C64)/SAP!$C$10)*'C&amp;B'!$D$13/SAP!$C$143)+D$26),"Not Possible")</f>
        <v>Not Possible</v>
      </c>
      <c r="E64" s="131" t="str">
        <f>IF(IF(E$39&lt;=$C64,E$26,(((E$39-$C64)/SAP!$C$10)*'C&amp;B'!$D$13/SAP!$C$143)+E$26)&lt;=SAP!$F$151,IF(E$39&lt;=$C64,E$26,(((E$39-$C64)/SAP!$C$10)*'C&amp;B'!$D$13/SAP!$C$143)+E$26),"Not Possible")</f>
        <v>Not Possible</v>
      </c>
      <c r="F64" s="131">
        <f>IF(IF(F$39&lt;=$C64,F$26,(((F$39-$C64)/SAP!$C$10)*'C&amp;B'!$D$13/SAP!$C$143)+F$26)&lt;=SAP!$F$151,IF(F$39&lt;=$C64,F$26,(((F$39-$C64)/SAP!$C$10)*'C&amp;B'!$D$13/SAP!$C$143)+F$26),"Not Possible")</f>
        <v>2.6490070716356913</v>
      </c>
      <c r="G64" s="131" t="str">
        <f>IF(IF(G$39&lt;=$C64,G$26,(((G$39-$C64)/SAP!$C$10)*'C&amp;B'!$D$13/SAP!$C$143)+G$26)&lt;=SAP!$F$151,IF(G$39&lt;=$C64,G$26,(((G$39-$C64)/SAP!$C$10)*'C&amp;B'!$D$13/SAP!$C$143)+G$26),"Not Possible")</f>
        <v>Not Possible</v>
      </c>
      <c r="H64" s="131">
        <f>IF(IF(H$39&lt;=$C64,H$26,(((H$39-$C64)/SAP!$C$10)*'C&amp;B'!$D$13/SAP!$C$143)+H$26)&lt;=SAP!$F$151,IF(H$39&lt;=$C64,H$26,(((H$39-$C64)/SAP!$C$10)*'C&amp;B'!$D$13/SAP!$C$143)+H$26),"Not Possible")</f>
        <v>2.9689806442355495</v>
      </c>
      <c r="I64" s="131" t="str">
        <f>IF(IF(I$39&lt;=$C64,I$26,(((I$39-$C64)/SAP!$C$10)*'C&amp;B'!$D$13/SAP!$C$143)+I$26)&lt;=SAP!$F$151,IF(I$39&lt;=$C64,I$26,(((I$39-$C64)/SAP!$C$10)*'C&amp;B'!$D$13/SAP!$C$143)+I$26),"Not Possible")</f>
        <v>Not Possible</v>
      </c>
      <c r="J64" s="131">
        <f>IF(IF(J$39&lt;=$C64,J$26,(((J$39-$C64)/SAP!$C$10)*'C&amp;B'!$D$13/SAP!$C$143)+J$26)&lt;=SAP!$F$151,IF(J$39&lt;=$C64,J$26,(((J$39-$C64)/SAP!$C$10)*'C&amp;B'!$D$13/SAP!$C$143)+J$26),"Not Possible")</f>
        <v>2.9498538053534715</v>
      </c>
      <c r="K64" s="131" t="str">
        <f>IF(IF(K$39&lt;=$C64,K$26,(((K$39-$C64)/SAP!$C$10)*'C&amp;B'!$D$13/SAP!$C$143)+K$26)&lt;=SAP!$F$151,IF(K$39&lt;=$C64,K$26,(((K$39-$C64)/SAP!$C$10)*'C&amp;B'!$D$13/SAP!$C$143)+K$26),"Not Possible")</f>
        <v>Not Possible</v>
      </c>
      <c r="L64" s="131">
        <f>IF(IF(L$39&lt;=$C64,L$26,(((L$39-$C64)/SAP!$C$10)*'C&amp;B'!$D$13/SAP!$C$143)+L$26)&lt;=SAP!$F$151,IF(L$39&lt;=$C64,L$26,(((L$39-$C64)/SAP!$C$10)*'C&amp;B'!$D$13/SAP!$C$143)+L$26),"Not Possible")</f>
        <v>2.9689806442355495</v>
      </c>
      <c r="M64" s="131" t="str">
        <f>IF(IF(M$39&lt;=$C64,M$26,(((M$39-$C64)/SAP!$C$10)*'C&amp;B'!$D$13/SAP!$C$143)+M$26)&lt;=SAP!$F$151,IF(M$39&lt;=$C64,M$26,(((M$39-$C64)/SAP!$C$10)*'C&amp;B'!$D$13/SAP!$C$143)+M$26),"Not Possible")</f>
        <v>Not Possible</v>
      </c>
      <c r="N64" s="131">
        <f>IF(IF(N$39&lt;=$C64,N$26,(((N$39-$C64)/SAP!$C$10)*'C&amp;B'!$D$13/SAP!$C$143)+N$26)&lt;=SAP!$F$151,IF(N$39&lt;=$C64,N$26,(((N$39-$C64)/SAP!$C$10)*'C&amp;B'!$D$13/SAP!$C$143)+N$26),"Not Possible")</f>
        <v>2.6012969416103315</v>
      </c>
      <c r="O64" s="131" t="str">
        <f>IF(IF(O$39&lt;=$C64,O$26,(((O$39-$C64)/SAP!$C$10)*'C&amp;B'!$D$13/SAP!$C$143)+O$26)&lt;=SAP!$F$151,IF(O$39&lt;=$C64,O$26,(((O$39-$C64)/SAP!$C$10)*'C&amp;B'!$D$13/SAP!$C$143)+O$26),"Not Possible")</f>
        <v>Not Possible</v>
      </c>
      <c r="P64" s="131">
        <f>IF(IF(P$39&lt;=$C64,P$26,(((P$39-$C64)/SAP!$C$10)*'C&amp;B'!$D$13/SAP!$C$143)+P$26)&lt;=SAP!$F$151,IF(P$39&lt;=$C64,P$26,(((P$39-$C64)/SAP!$C$10)*'C&amp;B'!$D$13/SAP!$C$143)+P$26),"Not Possible")</f>
        <v>2.8866693922213615</v>
      </c>
      <c r="Q64" s="131" t="str">
        <f>IF(IF(Q$39&lt;=$C64,Q$26,(((Q$39-$C64)/SAP!$C$10)*'C&amp;B'!$D$13/SAP!$C$143)+Q$26)&lt;=SAP!$F$151,IF(Q$39&lt;=$C64,Q$26,(((Q$39-$C64)/SAP!$C$10)*'C&amp;B'!$D$13/SAP!$C$143)+Q$26),"Not Possible")</f>
        <v>Not Possible</v>
      </c>
      <c r="R64" s="131">
        <f>IF(IF(R$39&lt;=$C64,R$26,(((R$39-$C64)/SAP!$C$10)*'C&amp;B'!$D$13/SAP!$C$143)+R$26)&lt;=SAP!$F$151,IF(R$39&lt;=$C64,R$26,(((R$39-$C64)/SAP!$C$10)*'C&amp;B'!$D$13/SAP!$C$143)+R$26),"Not Possible")</f>
        <v>2.7659175753612186</v>
      </c>
      <c r="S64" s="131">
        <f>IF(IF(S$39&lt;=$C64,S$26,(((S$39-$C64)/SAP!$C$10)*'C&amp;B'!$D$13/SAP!$C$143)+S$26)&lt;=SAP!$F$151,IF(S$39&lt;=$C64,S$26,(((S$39-$C64)/SAP!$C$10)*'C&amp;B'!$D$13/SAP!$C$143)+S$26),"Not Possible")</f>
        <v>2.4655543683134553</v>
      </c>
      <c r="T64" s="131">
        <f>IF(IF(T$39&lt;=$C64,T$26,(((T$39-$C64)/SAP!$C$10)*'C&amp;B'!$D$13/SAP!$C$143)+T$26)&lt;=SAP!$F$151,IF(T$39&lt;=$C64,T$26,(((T$39-$C64)/SAP!$C$10)*'C&amp;B'!$D$13/SAP!$C$143)+T$26),"Not Possible")</f>
        <v>2.7936915700200484</v>
      </c>
      <c r="V64" s="130" t="s">
        <v>615</v>
      </c>
      <c r="W64" s="82" t="e">
        <f>IF(D64=0,0,IF(D64&lt;4,'C&amp;B'!$E$316+(D64*'C&amp;B'!$E$317),D64*'C&amp;B'!$E$318))</f>
        <v>#VALUE!</v>
      </c>
      <c r="X64" s="82" t="e">
        <f>IF(E64=0,0,IF(E64&lt;4,'C&amp;B'!$E$316+(E64*'C&amp;B'!$E$317),E64*'C&amp;B'!$E$318))</f>
        <v>#VALUE!</v>
      </c>
      <c r="Y64" s="82">
        <f>IF(F64=0,0,IF(F64&lt;4,'C&amp;B'!$E$316+(F64*'C&amp;B'!$E$317),F64*'C&amp;B'!$E$318))</f>
        <v>2689.4042429814144</v>
      </c>
      <c r="Z64" s="82" t="e">
        <f>IF(G64=0,0,IF(G64&lt;4,'C&amp;B'!$E$316+(G64*'C&amp;B'!$E$317),G64*'C&amp;B'!$E$318))</f>
        <v>#VALUE!</v>
      </c>
      <c r="AA64" s="82">
        <f>IF(H64=0,0,IF(H64&lt;4,'C&amp;B'!$E$316+(H64*'C&amp;B'!$E$317),H64*'C&amp;B'!$E$318))</f>
        <v>2881.38838654133</v>
      </c>
      <c r="AB64" s="82" t="e">
        <f>IF(I64=0,0,IF(I64&lt;4,'C&amp;B'!$E$316+(I64*'C&amp;B'!$E$317),I64*'C&amp;B'!$E$318))</f>
        <v>#VALUE!</v>
      </c>
      <c r="AC64" s="82">
        <f>IF(J64=0,0,IF(J64&lt;4,'C&amp;B'!$E$316+(J64*'C&amp;B'!$E$317),J64*'C&amp;B'!$E$318))</f>
        <v>2869.9122832120829</v>
      </c>
      <c r="AD64" s="82" t="e">
        <f>IF(K64=0,0,IF(K64&lt;4,'C&amp;B'!$E$316+(K64*'C&amp;B'!$E$317),K64*'C&amp;B'!$E$318))</f>
        <v>#VALUE!</v>
      </c>
      <c r="AE64" s="82">
        <f>IF(L64=0,0,IF(L64&lt;4,'C&amp;B'!$E$316+(L64*'C&amp;B'!$E$317),L64*'C&amp;B'!$E$318))</f>
        <v>2881.38838654133</v>
      </c>
      <c r="AF64" s="82" t="e">
        <f>IF(M64=0,0,IF(M64&lt;4,'C&amp;B'!$E$316+(M64*'C&amp;B'!$E$317),M64*'C&amp;B'!$E$318))</f>
        <v>#VALUE!</v>
      </c>
      <c r="AG64" s="82">
        <f>IF(N64=0,0,IF(N64&lt;4,'C&amp;B'!$E$316+(N64*'C&amp;B'!$E$317),N64*'C&amp;B'!$E$318))</f>
        <v>2660.7781649661993</v>
      </c>
      <c r="AH64" s="82" t="e">
        <f>IF(O64=0,0,IF(O64&lt;4,'C&amp;B'!$E$316+(O64*'C&amp;B'!$E$317),O64*'C&amp;B'!$E$318))</f>
        <v>#VALUE!</v>
      </c>
      <c r="AI64" s="82">
        <f>IF(P64=0,0,IF(P64&lt;4,'C&amp;B'!$E$316+(P64*'C&amp;B'!$E$317),P64*'C&amp;B'!$E$318))</f>
        <v>2832.0016353328169</v>
      </c>
      <c r="AJ64" s="82" t="e">
        <f>IF(Q64=0,0,IF(Q64&lt;4,'C&amp;B'!$E$316+(Q64*'C&amp;B'!$E$317),Q64*'C&amp;B'!$E$318))</f>
        <v>#VALUE!</v>
      </c>
      <c r="AK64" s="82">
        <f>IF(R64=0,0,IF(R64&lt;4,'C&amp;B'!$E$316+(R64*'C&amp;B'!$E$317),R64*'C&amp;B'!$E$318))</f>
        <v>2759.5505452167313</v>
      </c>
      <c r="AL64" s="82">
        <f>IF(S64=0,0,IF(S64&lt;4,'C&amp;B'!$E$316+(S64*'C&amp;B'!$E$317),S64*'C&amp;B'!$E$318))</f>
        <v>2579.3326209880734</v>
      </c>
      <c r="AM64" s="82">
        <f>IF(T64=0,0,IF(T64&lt;4,'C&amp;B'!$E$316+(T64*'C&amp;B'!$E$317),T64*'C&amp;B'!$E$318))</f>
        <v>2776.214942012029</v>
      </c>
      <c r="AO64" s="130" t="s">
        <v>615</v>
      </c>
      <c r="AP64" s="82" t="e">
        <f t="shared" si="28"/>
        <v>#VALUE!</v>
      </c>
      <c r="AQ64" s="82" t="e">
        <f t="shared" si="27"/>
        <v>#VALUE!</v>
      </c>
      <c r="AR64" s="82">
        <f t="shared" si="27"/>
        <v>28227.404242981414</v>
      </c>
      <c r="AS64" s="82" t="e">
        <f t="shared" si="27"/>
        <v>#VALUE!</v>
      </c>
      <c r="AT64" s="82">
        <f t="shared" si="27"/>
        <v>28209.38838654133</v>
      </c>
      <c r="AU64" s="82" t="e">
        <f t="shared" si="27"/>
        <v>#VALUE!</v>
      </c>
      <c r="AV64" s="82">
        <f t="shared" si="27"/>
        <v>29552.912283212085</v>
      </c>
      <c r="AW64" s="82" t="e">
        <f t="shared" si="27"/>
        <v>#VALUE!</v>
      </c>
      <c r="AX64" s="82">
        <f t="shared" si="27"/>
        <v>28209.38838654133</v>
      </c>
      <c r="AY64" s="82" t="e">
        <f t="shared" si="27"/>
        <v>#VALUE!</v>
      </c>
      <c r="AZ64" s="82">
        <f t="shared" si="27"/>
        <v>28616.778164966199</v>
      </c>
      <c r="BA64" s="82" t="e">
        <f t="shared" si="27"/>
        <v>#VALUE!</v>
      </c>
      <c r="BB64" s="82">
        <f t="shared" si="27"/>
        <v>29515.001635332817</v>
      </c>
      <c r="BC64" s="82" t="e">
        <f t="shared" si="27"/>
        <v>#VALUE!</v>
      </c>
      <c r="BD64" s="82">
        <f t="shared" si="27"/>
        <v>29768.550545216731</v>
      </c>
      <c r="BE64" s="82">
        <f t="shared" si="27"/>
        <v>29061.332620988072</v>
      </c>
      <c r="BF64" s="82">
        <f t="shared" si="27"/>
        <v>28050.214942012029</v>
      </c>
    </row>
    <row r="65" spans="2:60" s="4" customFormat="1">
      <c r="B65" s="133" t="s">
        <v>668</v>
      </c>
      <c r="C65" s="127"/>
      <c r="D65" s="129"/>
      <c r="E65" s="113"/>
      <c r="F65" s="129"/>
      <c r="G65" s="129"/>
      <c r="H65" s="129"/>
      <c r="I65" s="129"/>
      <c r="J65" s="129"/>
      <c r="K65" s="129"/>
      <c r="L65" s="129"/>
      <c r="M65" s="129"/>
      <c r="N65" s="129"/>
      <c r="O65" s="129"/>
      <c r="P65" s="129"/>
      <c r="Q65" s="129"/>
      <c r="R65" s="129"/>
      <c r="S65" s="129"/>
      <c r="T65" s="132"/>
      <c r="V65" s="133" t="s">
        <v>668</v>
      </c>
      <c r="W65" s="82"/>
      <c r="X65" s="82"/>
      <c r="Y65" s="82"/>
      <c r="Z65" s="82"/>
      <c r="AA65" s="82"/>
      <c r="AB65" s="82"/>
      <c r="AC65" s="82"/>
      <c r="AD65" s="82"/>
      <c r="AE65" s="82"/>
      <c r="AF65" s="82"/>
      <c r="AG65" s="82"/>
      <c r="AH65" s="82"/>
      <c r="AI65" s="82"/>
      <c r="AJ65" s="82"/>
      <c r="AK65" s="82"/>
      <c r="AL65" s="82"/>
      <c r="AM65" s="82"/>
      <c r="AO65" s="133" t="s">
        <v>668</v>
      </c>
      <c r="AP65" s="82"/>
      <c r="AQ65" s="82"/>
      <c r="AR65" s="82"/>
      <c r="AS65" s="82"/>
      <c r="AT65" s="82"/>
      <c r="AU65" s="82"/>
      <c r="AV65" s="82"/>
      <c r="AW65" s="82"/>
      <c r="AX65" s="82"/>
      <c r="AY65" s="82"/>
      <c r="AZ65" s="82"/>
      <c r="BA65" s="82"/>
      <c r="BB65" s="82"/>
      <c r="BC65" s="82"/>
      <c r="BD65" s="82"/>
      <c r="BE65" s="82"/>
      <c r="BF65" s="82"/>
    </row>
    <row r="66" spans="2:60">
      <c r="B66" s="114" t="s">
        <v>609</v>
      </c>
      <c r="C66" s="127">
        <f>SAP!D167</f>
        <v>3.803801960613622</v>
      </c>
      <c r="D66" s="131" t="str">
        <f>IF(IF(D$39&lt;=$C66,D$26,(((D$39-$C66)/SAP!$C$10)*'C&amp;B'!$D$13/SAP!$C$143)+D$26)&lt;=SAP!$F$151,IF(D$39&lt;=$C66,D$26,(((D$39-$C66)/SAP!$C$10)*'C&amp;B'!$D$13/SAP!$C$143)+D$26),"Not Possible")</f>
        <v>Not Possible</v>
      </c>
      <c r="E66" s="131" t="str">
        <f>IF(IF(E$39&lt;=$C66,E$26,(((E$39-$C66)/SAP!$C$10)*'C&amp;B'!$D$13/SAP!$C$143)+E$26)&lt;=SAP!$F$151,IF(E$39&lt;=$C66,E$26,(((E$39-$C66)/SAP!$C$10)*'C&amp;B'!$D$13/SAP!$C$143)+E$26),"Not Possible")</f>
        <v>Not Possible</v>
      </c>
      <c r="F66" s="131">
        <f>IF(IF(F$39&lt;=$C66,F$26,(((F$39-$C66)/SAP!$C$10)*'C&amp;B'!$D$13/SAP!$C$143)+F$26)&lt;=SAP!$F$151,IF(F$39&lt;=$C66,F$26,(((F$39-$C66)/SAP!$C$10)*'C&amp;B'!$D$13/SAP!$C$143)+F$26),"Not Possible")</f>
        <v>4.5174885012853515E-2</v>
      </c>
      <c r="G66" s="131" t="str">
        <f>IF(IF(G$39&lt;=$C66,G$26,(((G$39-$C66)/SAP!$C$10)*'C&amp;B'!$D$13/SAP!$C$143)+G$26)&lt;=SAP!$F$151,IF(G$39&lt;=$C66,G$26,(((G$39-$C66)/SAP!$C$10)*'C&amp;B'!$D$13/SAP!$C$143)+G$26),"Not Possible")</f>
        <v>Not Possible</v>
      </c>
      <c r="H66" s="131">
        <f>IF(IF(H$39&lt;=$C66,H$26,(((H$39-$C66)/SAP!$C$10)*'C&amp;B'!$D$13/SAP!$C$143)+H$26)&lt;=SAP!$F$151,IF(H$39&lt;=$C66,H$26,(((H$39-$C66)/SAP!$C$10)*'C&amp;B'!$D$13/SAP!$C$143)+H$26),"Not Possible")</f>
        <v>0.36514845761271125</v>
      </c>
      <c r="I66" s="131" t="str">
        <f>IF(IF(I$39&lt;=$C66,I$26,(((I$39-$C66)/SAP!$C$10)*'C&amp;B'!$D$13/SAP!$C$143)+I$26)&lt;=SAP!$F$151,IF(I$39&lt;=$C66,I$26,(((I$39-$C66)/SAP!$C$10)*'C&amp;B'!$D$13/SAP!$C$143)+I$26),"Not Possible")</f>
        <v>Not Possible</v>
      </c>
      <c r="J66" s="131">
        <f>IF(IF(J$39&lt;=$C66,J$26,(((J$39-$C66)/SAP!$C$10)*'C&amp;B'!$D$13/SAP!$C$143)+J$26)&lt;=SAP!$F$151,IF(J$39&lt;=$C66,J$26,(((J$39-$C66)/SAP!$C$10)*'C&amp;B'!$D$13/SAP!$C$143)+J$26),"Not Possible")</f>
        <v>0.34602161873063358</v>
      </c>
      <c r="K66" s="131" t="str">
        <f>IF(IF(K$39&lt;=$C66,K$26,(((K$39-$C66)/SAP!$C$10)*'C&amp;B'!$D$13/SAP!$C$143)+K$26)&lt;=SAP!$F$151,IF(K$39&lt;=$C66,K$26,(((K$39-$C66)/SAP!$C$10)*'C&amp;B'!$D$13/SAP!$C$143)+K$26),"Not Possible")</f>
        <v>Not Possible</v>
      </c>
      <c r="L66" s="131">
        <f>IF(IF(L$39&lt;=$C66,L$26,(((L$39-$C66)/SAP!$C$10)*'C&amp;B'!$D$13/SAP!$C$143)+L$26)&lt;=SAP!$F$151,IF(L$39&lt;=$C66,L$26,(((L$39-$C66)/SAP!$C$10)*'C&amp;B'!$D$13/SAP!$C$143)+L$26),"Not Possible")</f>
        <v>0.36514845761271125</v>
      </c>
      <c r="M66" s="131" t="str">
        <f>IF(IF(M$39&lt;=$C66,M$26,(((M$39-$C66)/SAP!$C$10)*'C&amp;B'!$D$13/SAP!$C$143)+M$26)&lt;=SAP!$F$151,IF(M$39&lt;=$C66,M$26,(((M$39-$C66)/SAP!$C$10)*'C&amp;B'!$D$13/SAP!$C$143)+M$26),"Not Possible")</f>
        <v>Not Possible</v>
      </c>
      <c r="N66" s="131">
        <f>IF(IF(N$39&lt;=$C66,N$26,(((N$39-$C66)/SAP!$C$10)*'C&amp;B'!$D$13/SAP!$C$143)+N$26)&lt;=SAP!$F$151,IF(N$39&lt;=$C66,N$26,(((N$39-$C66)/SAP!$C$10)*'C&amp;B'!$D$13/SAP!$C$143)+N$26),"Not Possible")</f>
        <v>0</v>
      </c>
      <c r="O66" s="131" t="str">
        <f>IF(IF(O$39&lt;=$C66,O$26,(((O$39-$C66)/SAP!$C$10)*'C&amp;B'!$D$13/SAP!$C$143)+O$26)&lt;=SAP!$F$151,IF(O$39&lt;=$C66,O$26,(((O$39-$C66)/SAP!$C$10)*'C&amp;B'!$D$13/SAP!$C$143)+O$26),"Not Possible")</f>
        <v>Not Possible</v>
      </c>
      <c r="P66" s="131">
        <f>IF(IF(P$39&lt;=$C66,P$26,(((P$39-$C66)/SAP!$C$10)*'C&amp;B'!$D$13/SAP!$C$143)+P$26)&lt;=SAP!$F$151,IF(P$39&lt;=$C66,P$26,(((P$39-$C66)/SAP!$C$10)*'C&amp;B'!$D$13/SAP!$C$143)+P$26),"Not Possible")</f>
        <v>0.28283720559852354</v>
      </c>
      <c r="Q66" s="131" t="str">
        <f>IF(IF(Q$39&lt;=$C66,Q$26,(((Q$39-$C66)/SAP!$C$10)*'C&amp;B'!$D$13/SAP!$C$143)+Q$26)&lt;=SAP!$F$151,IF(Q$39&lt;=$C66,Q$26,(((Q$39-$C66)/SAP!$C$10)*'C&amp;B'!$D$13/SAP!$C$143)+Q$26),"Not Possible")</f>
        <v>Not Possible</v>
      </c>
      <c r="R66" s="131">
        <f>IF(IF(R$39&lt;=$C66,R$26,(((R$39-$C66)/SAP!$C$10)*'C&amp;B'!$D$13/SAP!$C$143)+R$26)&lt;=SAP!$F$151,IF(R$39&lt;=$C66,R$26,(((R$39-$C66)/SAP!$C$10)*'C&amp;B'!$D$13/SAP!$C$143)+R$26),"Not Possible")</f>
        <v>0.16208538873838058</v>
      </c>
      <c r="S66" s="131">
        <f>IF(IF(S$39&lt;=$C66,S$26,(((S$39-$C66)/SAP!$C$10)*'C&amp;B'!$D$13/SAP!$C$143)+S$26)&lt;=SAP!$F$151,IF(S$39&lt;=$C66,S$26,(((S$39-$C66)/SAP!$C$10)*'C&amp;B'!$D$13/SAP!$C$143)+S$26),"Not Possible")</f>
        <v>0</v>
      </c>
      <c r="T66" s="131">
        <f>IF(IF(T$39&lt;=$C66,T$26,(((T$39-$C66)/SAP!$C$10)*'C&amp;B'!$D$13/SAP!$C$143)+T$26)&lt;=SAP!$F$151,IF(T$39&lt;=$C66,T$26,(((T$39-$C66)/SAP!$C$10)*'C&amp;B'!$D$13/SAP!$C$143)+T$26),"Not Possible")</f>
        <v>0.18985938339721015</v>
      </c>
      <c r="V66" s="130" t="s">
        <v>609</v>
      </c>
      <c r="W66" s="82" t="e">
        <f>IF(D66=0,0,IF(D66&lt;4,'C&amp;B'!$E$316+(D66*'C&amp;B'!$E$317),D66*'C&amp;B'!$E$318))</f>
        <v>#VALUE!</v>
      </c>
      <c r="X66" s="82" t="e">
        <f>IF(E66=0,0,IF(E66&lt;4,'C&amp;B'!$E$316+(E66*'C&amp;B'!$E$317),E66*'C&amp;B'!$E$318))</f>
        <v>#VALUE!</v>
      </c>
      <c r="Y66" s="82">
        <f>IF(F66=0,0,IF(F66&lt;4,'C&amp;B'!$E$316+(F66*'C&amp;B'!$E$317),F66*'C&amp;B'!$E$318))</f>
        <v>1127.1049310077121</v>
      </c>
      <c r="Z66" s="82" t="e">
        <f>IF(G66=0,0,IF(G66&lt;4,'C&amp;B'!$E$316+(G66*'C&amp;B'!$E$317),G66*'C&amp;B'!$E$318))</f>
        <v>#VALUE!</v>
      </c>
      <c r="AA66" s="82">
        <f>IF(H66=0,0,IF(H66&lt;4,'C&amp;B'!$E$316+(H66*'C&amp;B'!$E$317),H66*'C&amp;B'!$E$318))</f>
        <v>1319.0890745676268</v>
      </c>
      <c r="AB66" s="82" t="e">
        <f>IF(I66=0,0,IF(I66&lt;4,'C&amp;B'!$E$316+(I66*'C&amp;B'!$E$317),I66*'C&amp;B'!$E$318))</f>
        <v>#VALUE!</v>
      </c>
      <c r="AC66" s="82">
        <f>IF(J66=0,0,IF(J66&lt;4,'C&amp;B'!$E$316+(J66*'C&amp;B'!$E$317),J66*'C&amp;B'!$E$318))</f>
        <v>1307.6129712383802</v>
      </c>
      <c r="AD66" s="82" t="e">
        <f>IF(K66=0,0,IF(K66&lt;4,'C&amp;B'!$E$316+(K66*'C&amp;B'!$E$317),K66*'C&amp;B'!$E$318))</f>
        <v>#VALUE!</v>
      </c>
      <c r="AE66" s="82">
        <f>IF(L66=0,0,IF(L66&lt;4,'C&amp;B'!$E$316+(L66*'C&amp;B'!$E$317),L66*'C&amp;B'!$E$318))</f>
        <v>1319.0890745676268</v>
      </c>
      <c r="AF66" s="82" t="e">
        <f>IF(M66=0,0,IF(M66&lt;4,'C&amp;B'!$E$316+(M66*'C&amp;B'!$E$317),M66*'C&amp;B'!$E$318))</f>
        <v>#VALUE!</v>
      </c>
      <c r="AG66" s="82">
        <f>IF(N66=0,0,IF(N66&lt;4,'C&amp;B'!$E$316+(N66*'C&amp;B'!$E$317),N66*'C&amp;B'!$E$318))</f>
        <v>0</v>
      </c>
      <c r="AH66" s="82" t="e">
        <f>IF(O66=0,0,IF(O66&lt;4,'C&amp;B'!$E$316+(O66*'C&amp;B'!$E$317),O66*'C&amp;B'!$E$318))</f>
        <v>#VALUE!</v>
      </c>
      <c r="AI66" s="82">
        <f>IF(P66=0,0,IF(P66&lt;4,'C&amp;B'!$E$316+(P66*'C&amp;B'!$E$317),P66*'C&amp;B'!$E$318))</f>
        <v>1269.7023233591142</v>
      </c>
      <c r="AJ66" s="82" t="e">
        <f>IF(Q66=0,0,IF(Q66&lt;4,'C&amp;B'!$E$316+(Q66*'C&amp;B'!$E$317),Q66*'C&amp;B'!$E$318))</f>
        <v>#VALUE!</v>
      </c>
      <c r="AK66" s="82">
        <f>IF(R66=0,0,IF(R66&lt;4,'C&amp;B'!$E$316+(R66*'C&amp;B'!$E$317),R66*'C&amp;B'!$E$318))</f>
        <v>1197.2512332430283</v>
      </c>
      <c r="AL66" s="82">
        <f>IF(S66=0,0,IF(S66&lt;4,'C&amp;B'!$E$316+(S66*'C&amp;B'!$E$317),S66*'C&amp;B'!$E$318))</f>
        <v>0</v>
      </c>
      <c r="AM66" s="82">
        <f>IF(T66=0,0,IF(T66&lt;4,'C&amp;B'!$E$316+(T66*'C&amp;B'!$E$317),T66*'C&amp;B'!$E$318))</f>
        <v>1213.9156300383261</v>
      </c>
      <c r="AO66" s="130" t="s">
        <v>609</v>
      </c>
      <c r="AP66" s="82" t="e">
        <f>AP$27-AP$26+W66</f>
        <v>#VALUE!</v>
      </c>
      <c r="AQ66" s="82" t="e">
        <f t="shared" ref="AQ66:BF72" si="29">AQ$27-AQ$26+X66</f>
        <v>#VALUE!</v>
      </c>
      <c r="AR66" s="82">
        <f t="shared" si="29"/>
        <v>26665.104931007711</v>
      </c>
      <c r="AS66" s="82" t="e">
        <f t="shared" si="29"/>
        <v>#VALUE!</v>
      </c>
      <c r="AT66" s="82">
        <f t="shared" si="29"/>
        <v>26647.089074567626</v>
      </c>
      <c r="AU66" s="82" t="e">
        <f t="shared" si="29"/>
        <v>#VALUE!</v>
      </c>
      <c r="AV66" s="82">
        <f t="shared" si="29"/>
        <v>27990.612971238381</v>
      </c>
      <c r="AW66" s="82" t="e">
        <f t="shared" si="29"/>
        <v>#VALUE!</v>
      </c>
      <c r="AX66" s="82">
        <f t="shared" si="29"/>
        <v>26647.089074567626</v>
      </c>
      <c r="AY66" s="82" t="e">
        <f t="shared" si="29"/>
        <v>#VALUE!</v>
      </c>
      <c r="AZ66" s="82">
        <f t="shared" si="29"/>
        <v>25956</v>
      </c>
      <c r="BA66" s="82" t="e">
        <f t="shared" si="29"/>
        <v>#VALUE!</v>
      </c>
      <c r="BB66" s="82">
        <f t="shared" si="29"/>
        <v>27952.702323359114</v>
      </c>
      <c r="BC66" s="82" t="e">
        <f t="shared" si="29"/>
        <v>#VALUE!</v>
      </c>
      <c r="BD66" s="82">
        <f t="shared" si="29"/>
        <v>28206.251233243027</v>
      </c>
      <c r="BE66" s="82">
        <f t="shared" si="29"/>
        <v>26482</v>
      </c>
      <c r="BF66" s="82">
        <f t="shared" si="29"/>
        <v>26487.915630038326</v>
      </c>
      <c r="BH66" s="4"/>
    </row>
    <row r="67" spans="2:60">
      <c r="B67" s="114" t="s">
        <v>610</v>
      </c>
      <c r="C67" s="127">
        <f>SAP!D168</f>
        <v>3.42342176455226</v>
      </c>
      <c r="D67" s="131" t="str">
        <f>IF(IF(D$39&lt;=$C67,D$26,(((D$39-$C67)/SAP!$C$10)*'C&amp;B'!$D$13/SAP!$C$143)+D$26)&lt;=SAP!$F$151,IF(D$39&lt;=$C67,D$26,(((D$39-$C67)/SAP!$C$10)*'C&amp;B'!$D$13/SAP!$C$143)+D$26),"Not Possible")</f>
        <v>Not Possible</v>
      </c>
      <c r="E67" s="131" t="str">
        <f>IF(IF(E$39&lt;=$C67,E$26,(((E$39-$C67)/SAP!$C$10)*'C&amp;B'!$D$13/SAP!$C$143)+E$26)&lt;=SAP!$F$151,IF(E$39&lt;=$C67,E$26,(((E$39-$C67)/SAP!$C$10)*'C&amp;B'!$D$13/SAP!$C$143)+E$26),"Not Possible")</f>
        <v>Not Possible</v>
      </c>
      <c r="F67" s="131">
        <f>IF(IF(F$39&lt;=$C67,F$26,(((F$39-$C67)/SAP!$C$10)*'C&amp;B'!$D$13/SAP!$C$143)+F$26)&lt;=SAP!$F$151,IF(F$39&lt;=$C67,F$26,(((F$39-$C67)/SAP!$C$10)*'C&amp;B'!$D$13/SAP!$C$143)+F$26),"Not Possible")</f>
        <v>0.30555810367513719</v>
      </c>
      <c r="G67" s="131" t="str">
        <f>IF(IF(G$39&lt;=$C67,G$26,(((G$39-$C67)/SAP!$C$10)*'C&amp;B'!$D$13/SAP!$C$143)+G$26)&lt;=SAP!$F$151,IF(G$39&lt;=$C67,G$26,(((G$39-$C67)/SAP!$C$10)*'C&amp;B'!$D$13/SAP!$C$143)+G$26),"Not Possible")</f>
        <v>Not Possible</v>
      </c>
      <c r="H67" s="131">
        <f>IF(IF(H$39&lt;=$C67,H$26,(((H$39-$C67)/SAP!$C$10)*'C&amp;B'!$D$13/SAP!$C$143)+H$26)&lt;=SAP!$F$151,IF(H$39&lt;=$C67,H$26,(((H$39-$C67)/SAP!$C$10)*'C&amp;B'!$D$13/SAP!$C$143)+H$26),"Not Possible")</f>
        <v>0.62553167627499495</v>
      </c>
      <c r="I67" s="131" t="str">
        <f>IF(IF(I$39&lt;=$C67,I$26,(((I$39-$C67)/SAP!$C$10)*'C&amp;B'!$D$13/SAP!$C$143)+I$26)&lt;=SAP!$F$151,IF(I$39&lt;=$C67,I$26,(((I$39-$C67)/SAP!$C$10)*'C&amp;B'!$D$13/SAP!$C$143)+I$26),"Not Possible")</f>
        <v>Not Possible</v>
      </c>
      <c r="J67" s="131">
        <f>IF(IF(J$39&lt;=$C67,J$26,(((J$39-$C67)/SAP!$C$10)*'C&amp;B'!$D$13/SAP!$C$143)+J$26)&lt;=SAP!$F$151,IF(J$39&lt;=$C67,J$26,(((J$39-$C67)/SAP!$C$10)*'C&amp;B'!$D$13/SAP!$C$143)+J$26),"Not Possible")</f>
        <v>0.60640483739291728</v>
      </c>
      <c r="K67" s="131" t="str">
        <f>IF(IF(K$39&lt;=$C67,K$26,(((K$39-$C67)/SAP!$C$10)*'C&amp;B'!$D$13/SAP!$C$143)+K$26)&lt;=SAP!$F$151,IF(K$39&lt;=$C67,K$26,(((K$39-$C67)/SAP!$C$10)*'C&amp;B'!$D$13/SAP!$C$143)+K$26),"Not Possible")</f>
        <v>Not Possible</v>
      </c>
      <c r="L67" s="131">
        <f>IF(IF(L$39&lt;=$C67,L$26,(((L$39-$C67)/SAP!$C$10)*'C&amp;B'!$D$13/SAP!$C$143)+L$26)&lt;=SAP!$F$151,IF(L$39&lt;=$C67,L$26,(((L$39-$C67)/SAP!$C$10)*'C&amp;B'!$D$13/SAP!$C$143)+L$26),"Not Possible")</f>
        <v>0.62553167627499495</v>
      </c>
      <c r="M67" s="131" t="str">
        <f>IF(IF(M$39&lt;=$C67,M$26,(((M$39-$C67)/SAP!$C$10)*'C&amp;B'!$D$13/SAP!$C$143)+M$26)&lt;=SAP!$F$151,IF(M$39&lt;=$C67,M$26,(((M$39-$C67)/SAP!$C$10)*'C&amp;B'!$D$13/SAP!$C$143)+M$26),"Not Possible")</f>
        <v>Not Possible</v>
      </c>
      <c r="N67" s="131">
        <f>IF(IF(N$39&lt;=$C67,N$26,(((N$39-$C67)/SAP!$C$10)*'C&amp;B'!$D$13/SAP!$C$143)+N$26)&lt;=SAP!$F$151,IF(N$39&lt;=$C67,N$26,(((N$39-$C67)/SAP!$C$10)*'C&amp;B'!$D$13/SAP!$C$143)+N$26),"Not Possible")</f>
        <v>0.25784797364977718</v>
      </c>
      <c r="O67" s="131" t="str">
        <f>IF(IF(O$39&lt;=$C67,O$26,(((O$39-$C67)/SAP!$C$10)*'C&amp;B'!$D$13/SAP!$C$143)+O$26)&lt;=SAP!$F$151,IF(O$39&lt;=$C67,O$26,(((O$39-$C67)/SAP!$C$10)*'C&amp;B'!$D$13/SAP!$C$143)+O$26),"Not Possible")</f>
        <v>Not Possible</v>
      </c>
      <c r="P67" s="131">
        <f>IF(IF(P$39&lt;=$C67,P$26,(((P$39-$C67)/SAP!$C$10)*'C&amp;B'!$D$13/SAP!$C$143)+P$26)&lt;=SAP!$F$151,IF(P$39&lt;=$C67,P$26,(((P$39-$C67)/SAP!$C$10)*'C&amp;B'!$D$13/SAP!$C$143)+P$26),"Not Possible")</f>
        <v>0.5432204242608073</v>
      </c>
      <c r="Q67" s="131" t="str">
        <f>IF(IF(Q$39&lt;=$C67,Q$26,(((Q$39-$C67)/SAP!$C$10)*'C&amp;B'!$D$13/SAP!$C$143)+Q$26)&lt;=SAP!$F$151,IF(Q$39&lt;=$C67,Q$26,(((Q$39-$C67)/SAP!$C$10)*'C&amp;B'!$D$13/SAP!$C$143)+Q$26),"Not Possible")</f>
        <v>Not Possible</v>
      </c>
      <c r="R67" s="131">
        <f>IF(IF(R$39&lt;=$C67,R$26,(((R$39-$C67)/SAP!$C$10)*'C&amp;B'!$D$13/SAP!$C$143)+R$26)&lt;=SAP!$F$151,IF(R$39&lt;=$C67,R$26,(((R$39-$C67)/SAP!$C$10)*'C&amp;B'!$D$13/SAP!$C$143)+R$26),"Not Possible")</f>
        <v>0.42246860740066428</v>
      </c>
      <c r="S67" s="131">
        <f>IF(IF(S$39&lt;=$C67,S$26,(((S$39-$C67)/SAP!$C$10)*'C&amp;B'!$D$13/SAP!$C$143)+S$26)&lt;=SAP!$F$151,IF(S$39&lt;=$C67,S$26,(((S$39-$C67)/SAP!$C$10)*'C&amp;B'!$D$13/SAP!$C$143)+S$26),"Not Possible")</f>
        <v>0.12210540035290098</v>
      </c>
      <c r="T67" s="131">
        <f>IF(IF(T$39&lt;=$C67,T$26,(((T$39-$C67)/SAP!$C$10)*'C&amp;B'!$D$13/SAP!$C$143)+T$26)&lt;=SAP!$F$151,IF(T$39&lt;=$C67,T$26,(((T$39-$C67)/SAP!$C$10)*'C&amp;B'!$D$13/SAP!$C$143)+T$26),"Not Possible")</f>
        <v>0.45024260205949385</v>
      </c>
      <c r="V67" s="130" t="s">
        <v>610</v>
      </c>
      <c r="W67" s="82" t="e">
        <f>IF(D67=0,0,IF(D67&lt;4,'C&amp;B'!$E$316+(D67*'C&amp;B'!$E$317),D67*'C&amp;B'!$E$318))</f>
        <v>#VALUE!</v>
      </c>
      <c r="X67" s="82" t="e">
        <f>IF(E67=0,0,IF(E67&lt;4,'C&amp;B'!$E$316+(E67*'C&amp;B'!$E$317),E67*'C&amp;B'!$E$318))</f>
        <v>#VALUE!</v>
      </c>
      <c r="Y67" s="82">
        <f>IF(F67=0,0,IF(F67&lt;4,'C&amp;B'!$E$316+(F67*'C&amp;B'!$E$317),F67*'C&amp;B'!$E$318))</f>
        <v>1283.3348622050823</v>
      </c>
      <c r="Z67" s="82" t="e">
        <f>IF(G67=0,0,IF(G67&lt;4,'C&amp;B'!$E$316+(G67*'C&amp;B'!$E$317),G67*'C&amp;B'!$E$318))</f>
        <v>#VALUE!</v>
      </c>
      <c r="AA67" s="82">
        <f>IF(H67=0,0,IF(H67&lt;4,'C&amp;B'!$E$316+(H67*'C&amp;B'!$E$317),H67*'C&amp;B'!$E$318))</f>
        <v>1475.319005764997</v>
      </c>
      <c r="AB67" s="82" t="e">
        <f>IF(I67=0,0,IF(I67&lt;4,'C&amp;B'!$E$316+(I67*'C&amp;B'!$E$317),I67*'C&amp;B'!$E$318))</f>
        <v>#VALUE!</v>
      </c>
      <c r="AC67" s="82">
        <f>IF(J67=0,0,IF(J67&lt;4,'C&amp;B'!$E$316+(J67*'C&amp;B'!$E$317),J67*'C&amp;B'!$E$318))</f>
        <v>1463.8429024357504</v>
      </c>
      <c r="AD67" s="82" t="e">
        <f>IF(K67=0,0,IF(K67&lt;4,'C&amp;B'!$E$316+(K67*'C&amp;B'!$E$317),K67*'C&amp;B'!$E$318))</f>
        <v>#VALUE!</v>
      </c>
      <c r="AE67" s="82">
        <f>IF(L67=0,0,IF(L67&lt;4,'C&amp;B'!$E$316+(L67*'C&amp;B'!$E$317),L67*'C&amp;B'!$E$318))</f>
        <v>1475.319005764997</v>
      </c>
      <c r="AF67" s="82" t="e">
        <f>IF(M67=0,0,IF(M67&lt;4,'C&amp;B'!$E$316+(M67*'C&amp;B'!$E$317),M67*'C&amp;B'!$E$318))</f>
        <v>#VALUE!</v>
      </c>
      <c r="AG67" s="82">
        <f>IF(N67=0,0,IF(N67&lt;4,'C&amp;B'!$E$316+(N67*'C&amp;B'!$E$317),N67*'C&amp;B'!$E$318))</f>
        <v>1254.7087841898663</v>
      </c>
      <c r="AH67" s="82" t="e">
        <f>IF(O67=0,0,IF(O67&lt;4,'C&amp;B'!$E$316+(O67*'C&amp;B'!$E$317),O67*'C&amp;B'!$E$318))</f>
        <v>#VALUE!</v>
      </c>
      <c r="AI67" s="82">
        <f>IF(P67=0,0,IF(P67&lt;4,'C&amp;B'!$E$316+(P67*'C&amp;B'!$E$317),P67*'C&amp;B'!$E$318))</f>
        <v>1425.9322545564844</v>
      </c>
      <c r="AJ67" s="82" t="e">
        <f>IF(Q67=0,0,IF(Q67&lt;4,'C&amp;B'!$E$316+(Q67*'C&amp;B'!$E$317),Q67*'C&amp;B'!$E$318))</f>
        <v>#VALUE!</v>
      </c>
      <c r="AK67" s="82">
        <f>IF(R67=0,0,IF(R67&lt;4,'C&amp;B'!$E$316+(R67*'C&amp;B'!$E$317),R67*'C&amp;B'!$E$318))</f>
        <v>1353.4811644403985</v>
      </c>
      <c r="AL67" s="82">
        <f>IF(S67=0,0,IF(S67&lt;4,'C&amp;B'!$E$316+(S67*'C&amp;B'!$E$317),S67*'C&amp;B'!$E$318))</f>
        <v>1173.2632402117406</v>
      </c>
      <c r="AM67" s="82">
        <f>IF(T67=0,0,IF(T67&lt;4,'C&amp;B'!$E$316+(T67*'C&amp;B'!$E$317),T67*'C&amp;B'!$E$318))</f>
        <v>1370.1455612356963</v>
      </c>
      <c r="AO67" s="130" t="s">
        <v>610</v>
      </c>
      <c r="AP67" s="82" t="e">
        <f t="shared" ref="AP67:AP72" si="30">AP$27-AP$26+W67</f>
        <v>#VALUE!</v>
      </c>
      <c r="AQ67" s="82" t="e">
        <f t="shared" si="29"/>
        <v>#VALUE!</v>
      </c>
      <c r="AR67" s="82">
        <f t="shared" si="29"/>
        <v>26821.334862205083</v>
      </c>
      <c r="AS67" s="82" t="e">
        <f t="shared" si="29"/>
        <v>#VALUE!</v>
      </c>
      <c r="AT67" s="82">
        <f t="shared" si="29"/>
        <v>26803.319005764995</v>
      </c>
      <c r="AU67" s="82" t="e">
        <f t="shared" si="29"/>
        <v>#VALUE!</v>
      </c>
      <c r="AV67" s="82">
        <f t="shared" si="29"/>
        <v>28146.84290243575</v>
      </c>
      <c r="AW67" s="82" t="e">
        <f t="shared" si="29"/>
        <v>#VALUE!</v>
      </c>
      <c r="AX67" s="82">
        <f t="shared" si="29"/>
        <v>26803.319005764995</v>
      </c>
      <c r="AY67" s="82" t="e">
        <f t="shared" si="29"/>
        <v>#VALUE!</v>
      </c>
      <c r="AZ67" s="82">
        <f t="shared" si="29"/>
        <v>27210.708784189865</v>
      </c>
      <c r="BA67" s="82" t="e">
        <f t="shared" si="29"/>
        <v>#VALUE!</v>
      </c>
      <c r="BB67" s="82">
        <f t="shared" si="29"/>
        <v>28108.932254556483</v>
      </c>
      <c r="BC67" s="82" t="e">
        <f t="shared" si="29"/>
        <v>#VALUE!</v>
      </c>
      <c r="BD67" s="82">
        <f t="shared" si="29"/>
        <v>28362.4811644404</v>
      </c>
      <c r="BE67" s="82">
        <f t="shared" si="29"/>
        <v>27655.263240211742</v>
      </c>
      <c r="BF67" s="82">
        <f t="shared" si="29"/>
        <v>26644.145561235695</v>
      </c>
    </row>
    <row r="68" spans="2:60">
      <c r="B68" s="114" t="s">
        <v>611</v>
      </c>
      <c r="C68" s="127">
        <f>SAP!D169</f>
        <v>3.0430415684908976</v>
      </c>
      <c r="D68" s="131" t="str">
        <f>IF(IF(D$39&lt;=$C68,D$26,(((D$39-$C68)/SAP!$C$10)*'C&amp;B'!$D$13/SAP!$C$143)+D$26)&lt;=SAP!$F$151,IF(D$39&lt;=$C68,D$26,(((D$39-$C68)/SAP!$C$10)*'C&amp;B'!$D$13/SAP!$C$143)+D$26),"Not Possible")</f>
        <v>Not Possible</v>
      </c>
      <c r="E68" s="131" t="str">
        <f>IF(IF(E$39&lt;=$C68,E$26,(((E$39-$C68)/SAP!$C$10)*'C&amp;B'!$D$13/SAP!$C$143)+E$26)&lt;=SAP!$F$151,IF(E$39&lt;=$C68,E$26,(((E$39-$C68)/SAP!$C$10)*'C&amp;B'!$D$13/SAP!$C$143)+E$26),"Not Possible")</f>
        <v>Not Possible</v>
      </c>
      <c r="F68" s="131">
        <f>IF(IF(F$39&lt;=$C68,F$26,(((F$39-$C68)/SAP!$C$10)*'C&amp;B'!$D$13/SAP!$C$143)+F$26)&lt;=SAP!$F$151,IF(F$39&lt;=$C68,F$26,(((F$39-$C68)/SAP!$C$10)*'C&amp;B'!$D$13/SAP!$C$143)+F$26),"Not Possible")</f>
        <v>0.56594132233742123</v>
      </c>
      <c r="G68" s="131" t="str">
        <f>IF(IF(G$39&lt;=$C68,G$26,(((G$39-$C68)/SAP!$C$10)*'C&amp;B'!$D$13/SAP!$C$143)+G$26)&lt;=SAP!$F$151,IF(G$39&lt;=$C68,G$26,(((G$39-$C68)/SAP!$C$10)*'C&amp;B'!$D$13/SAP!$C$143)+G$26),"Not Possible")</f>
        <v>Not Possible</v>
      </c>
      <c r="H68" s="131">
        <f>IF(IF(H$39&lt;=$C68,H$26,(((H$39-$C68)/SAP!$C$10)*'C&amp;B'!$D$13/SAP!$C$143)+H$26)&lt;=SAP!$F$151,IF(H$39&lt;=$C68,H$26,(((H$39-$C68)/SAP!$C$10)*'C&amp;B'!$D$13/SAP!$C$143)+H$26),"Not Possible")</f>
        <v>0.88591489493727882</v>
      </c>
      <c r="I68" s="131" t="str">
        <f>IF(IF(I$39&lt;=$C68,I$26,(((I$39-$C68)/SAP!$C$10)*'C&amp;B'!$D$13/SAP!$C$143)+I$26)&lt;=SAP!$F$151,IF(I$39&lt;=$C68,I$26,(((I$39-$C68)/SAP!$C$10)*'C&amp;B'!$D$13/SAP!$C$143)+I$26),"Not Possible")</f>
        <v>Not Possible</v>
      </c>
      <c r="J68" s="131">
        <f>IF(IF(J$39&lt;=$C68,J$26,(((J$39-$C68)/SAP!$C$10)*'C&amp;B'!$D$13/SAP!$C$143)+J$26)&lt;=SAP!$F$151,IF(J$39&lt;=$C68,J$26,(((J$39-$C68)/SAP!$C$10)*'C&amp;B'!$D$13/SAP!$C$143)+J$26),"Not Possible")</f>
        <v>0.86678805605520115</v>
      </c>
      <c r="K68" s="131" t="str">
        <f>IF(IF(K$39&lt;=$C68,K$26,(((K$39-$C68)/SAP!$C$10)*'C&amp;B'!$D$13/SAP!$C$143)+K$26)&lt;=SAP!$F$151,IF(K$39&lt;=$C68,K$26,(((K$39-$C68)/SAP!$C$10)*'C&amp;B'!$D$13/SAP!$C$143)+K$26),"Not Possible")</f>
        <v>Not Possible</v>
      </c>
      <c r="L68" s="131">
        <f>IF(IF(L$39&lt;=$C68,L$26,(((L$39-$C68)/SAP!$C$10)*'C&amp;B'!$D$13/SAP!$C$143)+L$26)&lt;=SAP!$F$151,IF(L$39&lt;=$C68,L$26,(((L$39-$C68)/SAP!$C$10)*'C&amp;B'!$D$13/SAP!$C$143)+L$26),"Not Possible")</f>
        <v>0.88591489493727882</v>
      </c>
      <c r="M68" s="131" t="str">
        <f>IF(IF(M$39&lt;=$C68,M$26,(((M$39-$C68)/SAP!$C$10)*'C&amp;B'!$D$13/SAP!$C$143)+M$26)&lt;=SAP!$F$151,IF(M$39&lt;=$C68,M$26,(((M$39-$C68)/SAP!$C$10)*'C&amp;B'!$D$13/SAP!$C$143)+M$26),"Not Possible")</f>
        <v>Not Possible</v>
      </c>
      <c r="N68" s="131">
        <f>IF(IF(N$39&lt;=$C68,N$26,(((N$39-$C68)/SAP!$C$10)*'C&amp;B'!$D$13/SAP!$C$143)+N$26)&lt;=SAP!$F$151,IF(N$39&lt;=$C68,N$26,(((N$39-$C68)/SAP!$C$10)*'C&amp;B'!$D$13/SAP!$C$143)+N$26),"Not Possible")</f>
        <v>0.51823119231206116</v>
      </c>
      <c r="O68" s="131" t="str">
        <f>IF(IF(O$39&lt;=$C68,O$26,(((O$39-$C68)/SAP!$C$10)*'C&amp;B'!$D$13/SAP!$C$143)+O$26)&lt;=SAP!$F$151,IF(O$39&lt;=$C68,O$26,(((O$39-$C68)/SAP!$C$10)*'C&amp;B'!$D$13/SAP!$C$143)+O$26),"Not Possible")</f>
        <v>Not Possible</v>
      </c>
      <c r="P68" s="131">
        <f>IF(IF(P$39&lt;=$C68,P$26,(((P$39-$C68)/SAP!$C$10)*'C&amp;B'!$D$13/SAP!$C$143)+P$26)&lt;=SAP!$F$151,IF(P$39&lt;=$C68,P$26,(((P$39-$C68)/SAP!$C$10)*'C&amp;B'!$D$13/SAP!$C$143)+P$26),"Not Possible")</f>
        <v>0.80360364292309128</v>
      </c>
      <c r="Q68" s="131" t="str">
        <f>IF(IF(Q$39&lt;=$C68,Q$26,(((Q$39-$C68)/SAP!$C$10)*'C&amp;B'!$D$13/SAP!$C$143)+Q$26)&lt;=SAP!$F$151,IF(Q$39&lt;=$C68,Q$26,(((Q$39-$C68)/SAP!$C$10)*'C&amp;B'!$D$13/SAP!$C$143)+Q$26),"Not Possible")</f>
        <v>Not Possible</v>
      </c>
      <c r="R68" s="131">
        <f>IF(IF(R$39&lt;=$C68,R$26,(((R$39-$C68)/SAP!$C$10)*'C&amp;B'!$D$13/SAP!$C$143)+R$26)&lt;=SAP!$F$151,IF(R$39&lt;=$C68,R$26,(((R$39-$C68)/SAP!$C$10)*'C&amp;B'!$D$13/SAP!$C$143)+R$26),"Not Possible")</f>
        <v>0.68285182606294814</v>
      </c>
      <c r="S68" s="131">
        <f>IF(IF(S$39&lt;=$C68,S$26,(((S$39-$C68)/SAP!$C$10)*'C&amp;B'!$D$13/SAP!$C$143)+S$26)&lt;=SAP!$F$151,IF(S$39&lt;=$C68,S$26,(((S$39-$C68)/SAP!$C$10)*'C&amp;B'!$D$13/SAP!$C$143)+S$26),"Not Possible")</f>
        <v>0.38248861901518488</v>
      </c>
      <c r="T68" s="131">
        <f>IF(IF(T$39&lt;=$C68,T$26,(((T$39-$C68)/SAP!$C$10)*'C&amp;B'!$D$13/SAP!$C$143)+T$26)&lt;=SAP!$F$151,IF(T$39&lt;=$C68,T$26,(((T$39-$C68)/SAP!$C$10)*'C&amp;B'!$D$13/SAP!$C$143)+T$26),"Not Possible")</f>
        <v>0.71062582072177771</v>
      </c>
      <c r="V68" s="130" t="s">
        <v>611</v>
      </c>
      <c r="W68" s="82" t="e">
        <f>IF(D68=0,0,IF(D68&lt;4,'C&amp;B'!$E$316+(D68*'C&amp;B'!$E$317),D68*'C&amp;B'!$E$318))</f>
        <v>#VALUE!</v>
      </c>
      <c r="X68" s="82" t="e">
        <f>IF(E68=0,0,IF(E68&lt;4,'C&amp;B'!$E$316+(E68*'C&amp;B'!$E$317),E68*'C&amp;B'!$E$318))</f>
        <v>#VALUE!</v>
      </c>
      <c r="Y68" s="82">
        <f>IF(F68=0,0,IF(F68&lt;4,'C&amp;B'!$E$316+(F68*'C&amp;B'!$E$317),F68*'C&amp;B'!$E$318))</f>
        <v>1439.5647934024528</v>
      </c>
      <c r="Z68" s="82" t="e">
        <f>IF(G68=0,0,IF(G68&lt;4,'C&amp;B'!$E$316+(G68*'C&amp;B'!$E$317),G68*'C&amp;B'!$E$318))</f>
        <v>#VALUE!</v>
      </c>
      <c r="AA68" s="82">
        <f>IF(H68=0,0,IF(H68&lt;4,'C&amp;B'!$E$316+(H68*'C&amp;B'!$E$317),H68*'C&amp;B'!$E$318))</f>
        <v>1631.5489369623674</v>
      </c>
      <c r="AB68" s="82" t="e">
        <f>IF(I68=0,0,IF(I68&lt;4,'C&amp;B'!$E$316+(I68*'C&amp;B'!$E$317),I68*'C&amp;B'!$E$318))</f>
        <v>#VALUE!</v>
      </c>
      <c r="AC68" s="82">
        <f>IF(J68=0,0,IF(J68&lt;4,'C&amp;B'!$E$316+(J68*'C&amp;B'!$E$317),J68*'C&amp;B'!$E$318))</f>
        <v>1620.0728336331208</v>
      </c>
      <c r="AD68" s="82" t="e">
        <f>IF(K68=0,0,IF(K68&lt;4,'C&amp;B'!$E$316+(K68*'C&amp;B'!$E$317),K68*'C&amp;B'!$E$318))</f>
        <v>#VALUE!</v>
      </c>
      <c r="AE68" s="82">
        <f>IF(L68=0,0,IF(L68&lt;4,'C&amp;B'!$E$316+(L68*'C&amp;B'!$E$317),L68*'C&amp;B'!$E$318))</f>
        <v>1631.5489369623674</v>
      </c>
      <c r="AF68" s="82" t="e">
        <f>IF(M68=0,0,IF(M68&lt;4,'C&amp;B'!$E$316+(M68*'C&amp;B'!$E$317),M68*'C&amp;B'!$E$318))</f>
        <v>#VALUE!</v>
      </c>
      <c r="AG68" s="82">
        <f>IF(N68=0,0,IF(N68&lt;4,'C&amp;B'!$E$316+(N68*'C&amp;B'!$E$317),N68*'C&amp;B'!$E$318))</f>
        <v>1410.9387153872367</v>
      </c>
      <c r="AH68" s="82" t="e">
        <f>IF(O68=0,0,IF(O68&lt;4,'C&amp;B'!$E$316+(O68*'C&amp;B'!$E$317),O68*'C&amp;B'!$E$318))</f>
        <v>#VALUE!</v>
      </c>
      <c r="AI68" s="82">
        <f>IF(P68=0,0,IF(P68&lt;4,'C&amp;B'!$E$316+(P68*'C&amp;B'!$E$317),P68*'C&amp;B'!$E$318))</f>
        <v>1582.1621857538548</v>
      </c>
      <c r="AJ68" s="82" t="e">
        <f>IF(Q68=0,0,IF(Q68&lt;4,'C&amp;B'!$E$316+(Q68*'C&amp;B'!$E$317),Q68*'C&amp;B'!$E$318))</f>
        <v>#VALUE!</v>
      </c>
      <c r="AK68" s="82">
        <f>IF(R68=0,0,IF(R68&lt;4,'C&amp;B'!$E$316+(R68*'C&amp;B'!$E$317),R68*'C&amp;B'!$E$318))</f>
        <v>1509.7110956377689</v>
      </c>
      <c r="AL68" s="82">
        <f>IF(S68=0,0,IF(S68&lt;4,'C&amp;B'!$E$316+(S68*'C&amp;B'!$E$317),S68*'C&amp;B'!$E$318))</f>
        <v>1329.493171409111</v>
      </c>
      <c r="AM68" s="82">
        <f>IF(T68=0,0,IF(T68&lt;4,'C&amp;B'!$E$316+(T68*'C&amp;B'!$E$317),T68*'C&amp;B'!$E$318))</f>
        <v>1526.3754924330667</v>
      </c>
      <c r="AO68" s="130" t="s">
        <v>611</v>
      </c>
      <c r="AP68" s="82" t="e">
        <f t="shared" si="30"/>
        <v>#VALUE!</v>
      </c>
      <c r="AQ68" s="82" t="e">
        <f t="shared" si="29"/>
        <v>#VALUE!</v>
      </c>
      <c r="AR68" s="82">
        <f t="shared" si="29"/>
        <v>26977.564793402453</v>
      </c>
      <c r="AS68" s="82" t="e">
        <f t="shared" si="29"/>
        <v>#VALUE!</v>
      </c>
      <c r="AT68" s="82">
        <f t="shared" si="29"/>
        <v>26959.548936962368</v>
      </c>
      <c r="AU68" s="82" t="e">
        <f t="shared" si="29"/>
        <v>#VALUE!</v>
      </c>
      <c r="AV68" s="82">
        <f t="shared" si="29"/>
        <v>28303.072833633119</v>
      </c>
      <c r="AW68" s="82" t="e">
        <f t="shared" si="29"/>
        <v>#VALUE!</v>
      </c>
      <c r="AX68" s="82">
        <f t="shared" si="29"/>
        <v>26959.548936962368</v>
      </c>
      <c r="AY68" s="82" t="e">
        <f t="shared" si="29"/>
        <v>#VALUE!</v>
      </c>
      <c r="AZ68" s="82">
        <f t="shared" si="29"/>
        <v>27366.938715387238</v>
      </c>
      <c r="BA68" s="82" t="e">
        <f t="shared" si="29"/>
        <v>#VALUE!</v>
      </c>
      <c r="BB68" s="82">
        <f t="shared" si="29"/>
        <v>28265.162185753856</v>
      </c>
      <c r="BC68" s="82" t="e">
        <f t="shared" si="29"/>
        <v>#VALUE!</v>
      </c>
      <c r="BD68" s="82">
        <f t="shared" si="29"/>
        <v>28518.711095637769</v>
      </c>
      <c r="BE68" s="82">
        <f t="shared" si="29"/>
        <v>27811.493171409111</v>
      </c>
      <c r="BF68" s="82">
        <f t="shared" si="29"/>
        <v>26800.375492433068</v>
      </c>
    </row>
    <row r="69" spans="2:60">
      <c r="B69" s="114" t="s">
        <v>612</v>
      </c>
      <c r="C69" s="127">
        <f>SAP!D170</f>
        <v>2.6626613724295352</v>
      </c>
      <c r="D69" s="131" t="str">
        <f>IF(IF(D$39&lt;=$C69,D$26,(((D$39-$C69)/SAP!$C$10)*'C&amp;B'!$D$13/SAP!$C$143)+D$26)&lt;=SAP!$F$151,IF(D$39&lt;=$C69,D$26,(((D$39-$C69)/SAP!$C$10)*'C&amp;B'!$D$13/SAP!$C$143)+D$26),"Not Possible")</f>
        <v>Not Possible</v>
      </c>
      <c r="E69" s="131" t="str">
        <f>IF(IF(E$39&lt;=$C69,E$26,(((E$39-$C69)/SAP!$C$10)*'C&amp;B'!$D$13/SAP!$C$143)+E$26)&lt;=SAP!$F$151,IF(E$39&lt;=$C69,E$26,(((E$39-$C69)/SAP!$C$10)*'C&amp;B'!$D$13/SAP!$C$143)+E$26),"Not Possible")</f>
        <v>Not Possible</v>
      </c>
      <c r="F69" s="131">
        <f>IF(IF(F$39&lt;=$C69,F$26,(((F$39-$C69)/SAP!$C$10)*'C&amp;B'!$D$13/SAP!$C$143)+F$26)&lt;=SAP!$F$151,IF(F$39&lt;=$C69,F$26,(((F$39-$C69)/SAP!$C$10)*'C&amp;B'!$D$13/SAP!$C$143)+F$26),"Not Possible")</f>
        <v>0.82632454099970509</v>
      </c>
      <c r="G69" s="131" t="str">
        <f>IF(IF(G$39&lt;=$C69,G$26,(((G$39-$C69)/SAP!$C$10)*'C&amp;B'!$D$13/SAP!$C$143)+G$26)&lt;=SAP!$F$151,IF(G$39&lt;=$C69,G$26,(((G$39-$C69)/SAP!$C$10)*'C&amp;B'!$D$13/SAP!$C$143)+G$26),"Not Possible")</f>
        <v>Not Possible</v>
      </c>
      <c r="H69" s="131">
        <f>IF(IF(H$39&lt;=$C69,H$26,(((H$39-$C69)/SAP!$C$10)*'C&amp;B'!$D$13/SAP!$C$143)+H$26)&lt;=SAP!$F$151,IF(H$39&lt;=$C69,H$26,(((H$39-$C69)/SAP!$C$10)*'C&amp;B'!$D$13/SAP!$C$143)+H$26),"Not Possible")</f>
        <v>1.1462981135995627</v>
      </c>
      <c r="I69" s="131" t="str">
        <f>IF(IF(I$39&lt;=$C69,I$26,(((I$39-$C69)/SAP!$C$10)*'C&amp;B'!$D$13/SAP!$C$143)+I$26)&lt;=SAP!$F$151,IF(I$39&lt;=$C69,I$26,(((I$39-$C69)/SAP!$C$10)*'C&amp;B'!$D$13/SAP!$C$143)+I$26),"Not Possible")</f>
        <v>Not Possible</v>
      </c>
      <c r="J69" s="131">
        <f>IF(IF(J$39&lt;=$C69,J$26,(((J$39-$C69)/SAP!$C$10)*'C&amp;B'!$D$13/SAP!$C$143)+J$26)&lt;=SAP!$F$151,IF(J$39&lt;=$C69,J$26,(((J$39-$C69)/SAP!$C$10)*'C&amp;B'!$D$13/SAP!$C$143)+J$26),"Not Possible")</f>
        <v>1.1271712747174853</v>
      </c>
      <c r="K69" s="131" t="str">
        <f>IF(IF(K$39&lt;=$C69,K$26,(((K$39-$C69)/SAP!$C$10)*'C&amp;B'!$D$13/SAP!$C$143)+K$26)&lt;=SAP!$F$151,IF(K$39&lt;=$C69,K$26,(((K$39-$C69)/SAP!$C$10)*'C&amp;B'!$D$13/SAP!$C$143)+K$26),"Not Possible")</f>
        <v>Not Possible</v>
      </c>
      <c r="L69" s="131">
        <f>IF(IF(L$39&lt;=$C69,L$26,(((L$39-$C69)/SAP!$C$10)*'C&amp;B'!$D$13/SAP!$C$143)+L$26)&lt;=SAP!$F$151,IF(L$39&lt;=$C69,L$26,(((L$39-$C69)/SAP!$C$10)*'C&amp;B'!$D$13/SAP!$C$143)+L$26),"Not Possible")</f>
        <v>1.1462981135995627</v>
      </c>
      <c r="M69" s="131" t="str">
        <f>IF(IF(M$39&lt;=$C69,M$26,(((M$39-$C69)/SAP!$C$10)*'C&amp;B'!$D$13/SAP!$C$143)+M$26)&lt;=SAP!$F$151,IF(M$39&lt;=$C69,M$26,(((M$39-$C69)/SAP!$C$10)*'C&amp;B'!$D$13/SAP!$C$143)+M$26),"Not Possible")</f>
        <v>Not Possible</v>
      </c>
      <c r="N69" s="131">
        <f>IF(IF(N$39&lt;=$C69,N$26,(((N$39-$C69)/SAP!$C$10)*'C&amp;B'!$D$13/SAP!$C$143)+N$26)&lt;=SAP!$F$151,IF(N$39&lt;=$C69,N$26,(((N$39-$C69)/SAP!$C$10)*'C&amp;B'!$D$13/SAP!$C$143)+N$26),"Not Possible")</f>
        <v>0.77861441097434503</v>
      </c>
      <c r="O69" s="131" t="str">
        <f>IF(IF(O$39&lt;=$C69,O$26,(((O$39-$C69)/SAP!$C$10)*'C&amp;B'!$D$13/SAP!$C$143)+O$26)&lt;=SAP!$F$151,IF(O$39&lt;=$C69,O$26,(((O$39-$C69)/SAP!$C$10)*'C&amp;B'!$D$13/SAP!$C$143)+O$26),"Not Possible")</f>
        <v>Not Possible</v>
      </c>
      <c r="P69" s="131">
        <f>IF(IF(P$39&lt;=$C69,P$26,(((P$39-$C69)/SAP!$C$10)*'C&amp;B'!$D$13/SAP!$C$143)+P$26)&lt;=SAP!$F$151,IF(P$39&lt;=$C69,P$26,(((P$39-$C69)/SAP!$C$10)*'C&amp;B'!$D$13/SAP!$C$143)+P$26),"Not Possible")</f>
        <v>1.0639868615853751</v>
      </c>
      <c r="Q69" s="131" t="str">
        <f>IF(IF(Q$39&lt;=$C69,Q$26,(((Q$39-$C69)/SAP!$C$10)*'C&amp;B'!$D$13/SAP!$C$143)+Q$26)&lt;=SAP!$F$151,IF(Q$39&lt;=$C69,Q$26,(((Q$39-$C69)/SAP!$C$10)*'C&amp;B'!$D$13/SAP!$C$143)+Q$26),"Not Possible")</f>
        <v>Not Possible</v>
      </c>
      <c r="R69" s="131">
        <f>IF(IF(R$39&lt;=$C69,R$26,(((R$39-$C69)/SAP!$C$10)*'C&amp;B'!$D$13/SAP!$C$143)+R$26)&lt;=SAP!$F$151,IF(R$39&lt;=$C69,R$26,(((R$39-$C69)/SAP!$C$10)*'C&amp;B'!$D$13/SAP!$C$143)+R$26),"Not Possible")</f>
        <v>0.94323504472523223</v>
      </c>
      <c r="S69" s="131">
        <f>IF(IF(S$39&lt;=$C69,S$26,(((S$39-$C69)/SAP!$C$10)*'C&amp;B'!$D$13/SAP!$C$143)+S$26)&lt;=SAP!$F$151,IF(S$39&lt;=$C69,S$26,(((S$39-$C69)/SAP!$C$10)*'C&amp;B'!$D$13/SAP!$C$143)+S$26),"Not Possible")</f>
        <v>0.64287183767746892</v>
      </c>
      <c r="T69" s="131">
        <f>IF(IF(T$39&lt;=$C69,T$26,(((T$39-$C69)/SAP!$C$10)*'C&amp;B'!$D$13/SAP!$C$143)+T$26)&lt;=SAP!$F$151,IF(T$39&lt;=$C69,T$26,(((T$39-$C69)/SAP!$C$10)*'C&amp;B'!$D$13/SAP!$C$143)+T$26),"Not Possible")</f>
        <v>0.97100903938406169</v>
      </c>
      <c r="V69" s="130" t="s">
        <v>612</v>
      </c>
      <c r="W69" s="82" t="e">
        <f>IF(D69=0,0,IF(D69&lt;4,'C&amp;B'!$E$316+(D69*'C&amp;B'!$E$317),D69*'C&amp;B'!$E$318))</f>
        <v>#VALUE!</v>
      </c>
      <c r="X69" s="82" t="e">
        <f>IF(E69=0,0,IF(E69&lt;4,'C&amp;B'!$E$316+(E69*'C&amp;B'!$E$317),E69*'C&amp;B'!$E$318))</f>
        <v>#VALUE!</v>
      </c>
      <c r="Y69" s="82">
        <f>IF(F69=0,0,IF(F69&lt;4,'C&amp;B'!$E$316+(F69*'C&amp;B'!$E$317),F69*'C&amp;B'!$E$318))</f>
        <v>1595.794724599823</v>
      </c>
      <c r="Z69" s="82" t="e">
        <f>IF(G69=0,0,IF(G69&lt;4,'C&amp;B'!$E$316+(G69*'C&amp;B'!$E$317),G69*'C&amp;B'!$E$318))</f>
        <v>#VALUE!</v>
      </c>
      <c r="AA69" s="82">
        <f>IF(H69=0,0,IF(H69&lt;4,'C&amp;B'!$E$316+(H69*'C&amp;B'!$E$317),H69*'C&amp;B'!$E$318))</f>
        <v>1787.7788681597376</v>
      </c>
      <c r="AB69" s="82" t="e">
        <f>IF(I69=0,0,IF(I69&lt;4,'C&amp;B'!$E$316+(I69*'C&amp;B'!$E$317),I69*'C&amp;B'!$E$318))</f>
        <v>#VALUE!</v>
      </c>
      <c r="AC69" s="82">
        <f>IF(J69=0,0,IF(J69&lt;4,'C&amp;B'!$E$316+(J69*'C&amp;B'!$E$317),J69*'C&amp;B'!$E$318))</f>
        <v>1776.3027648304912</v>
      </c>
      <c r="AD69" s="82" t="e">
        <f>IF(K69=0,0,IF(K69&lt;4,'C&amp;B'!$E$316+(K69*'C&amp;B'!$E$317),K69*'C&amp;B'!$E$318))</f>
        <v>#VALUE!</v>
      </c>
      <c r="AE69" s="82">
        <f>IF(L69=0,0,IF(L69&lt;4,'C&amp;B'!$E$316+(L69*'C&amp;B'!$E$317),L69*'C&amp;B'!$E$318))</f>
        <v>1787.7788681597376</v>
      </c>
      <c r="AF69" s="82" t="e">
        <f>IF(M69=0,0,IF(M69&lt;4,'C&amp;B'!$E$316+(M69*'C&amp;B'!$E$317),M69*'C&amp;B'!$E$318))</f>
        <v>#VALUE!</v>
      </c>
      <c r="AG69" s="82">
        <f>IF(N69=0,0,IF(N69&lt;4,'C&amp;B'!$E$316+(N69*'C&amp;B'!$E$317),N69*'C&amp;B'!$E$318))</f>
        <v>1567.1686465846069</v>
      </c>
      <c r="AH69" s="82" t="e">
        <f>IF(O69=0,0,IF(O69&lt;4,'C&amp;B'!$E$316+(O69*'C&amp;B'!$E$317),O69*'C&amp;B'!$E$318))</f>
        <v>#VALUE!</v>
      </c>
      <c r="AI69" s="82">
        <f>IF(P69=0,0,IF(P69&lt;4,'C&amp;B'!$E$316+(P69*'C&amp;B'!$E$317),P69*'C&amp;B'!$E$318))</f>
        <v>1738.392116951225</v>
      </c>
      <c r="AJ69" s="82" t="e">
        <f>IF(Q69=0,0,IF(Q69&lt;4,'C&amp;B'!$E$316+(Q69*'C&amp;B'!$E$317),Q69*'C&amp;B'!$E$318))</f>
        <v>#VALUE!</v>
      </c>
      <c r="AK69" s="82">
        <f>IF(R69=0,0,IF(R69&lt;4,'C&amp;B'!$E$316+(R69*'C&amp;B'!$E$317),R69*'C&amp;B'!$E$318))</f>
        <v>1665.9410268351394</v>
      </c>
      <c r="AL69" s="82">
        <f>IF(S69=0,0,IF(S69&lt;4,'C&amp;B'!$E$316+(S69*'C&amp;B'!$E$317),S69*'C&amp;B'!$E$318))</f>
        <v>1485.7231026064815</v>
      </c>
      <c r="AM69" s="82">
        <f>IF(T69=0,0,IF(T69&lt;4,'C&amp;B'!$E$316+(T69*'C&amp;B'!$E$317),T69*'C&amp;B'!$E$318))</f>
        <v>1682.6054236304371</v>
      </c>
      <c r="AO69" s="130" t="s">
        <v>612</v>
      </c>
      <c r="AP69" s="82" t="e">
        <f t="shared" si="30"/>
        <v>#VALUE!</v>
      </c>
      <c r="AQ69" s="82" t="e">
        <f t="shared" si="29"/>
        <v>#VALUE!</v>
      </c>
      <c r="AR69" s="82">
        <f t="shared" si="29"/>
        <v>27133.794724599822</v>
      </c>
      <c r="AS69" s="82" t="e">
        <f t="shared" si="29"/>
        <v>#VALUE!</v>
      </c>
      <c r="AT69" s="82">
        <f t="shared" si="29"/>
        <v>27115.778868159738</v>
      </c>
      <c r="AU69" s="82" t="e">
        <f t="shared" si="29"/>
        <v>#VALUE!</v>
      </c>
      <c r="AV69" s="82">
        <f t="shared" si="29"/>
        <v>28459.302764830492</v>
      </c>
      <c r="AW69" s="82" t="e">
        <f t="shared" si="29"/>
        <v>#VALUE!</v>
      </c>
      <c r="AX69" s="82">
        <f t="shared" si="29"/>
        <v>27115.778868159738</v>
      </c>
      <c r="AY69" s="82" t="e">
        <f t="shared" si="29"/>
        <v>#VALUE!</v>
      </c>
      <c r="AZ69" s="82">
        <f t="shared" si="29"/>
        <v>27523.168646584607</v>
      </c>
      <c r="BA69" s="82" t="e">
        <f t="shared" si="29"/>
        <v>#VALUE!</v>
      </c>
      <c r="BB69" s="82">
        <f t="shared" si="29"/>
        <v>28421.392116951225</v>
      </c>
      <c r="BC69" s="82" t="e">
        <f t="shared" si="29"/>
        <v>#VALUE!</v>
      </c>
      <c r="BD69" s="82">
        <f t="shared" si="29"/>
        <v>28674.941026835138</v>
      </c>
      <c r="BE69" s="82">
        <f t="shared" si="29"/>
        <v>27967.72310260648</v>
      </c>
      <c r="BF69" s="82">
        <f t="shared" si="29"/>
        <v>26956.605423630437</v>
      </c>
    </row>
    <row r="70" spans="2:60">
      <c r="B70" s="114" t="s">
        <v>613</v>
      </c>
      <c r="C70" s="127">
        <f>SAP!D171</f>
        <v>2.2822811763681732</v>
      </c>
      <c r="D70" s="131" t="str">
        <f>IF(IF(D$39&lt;=$C70,D$26,(((D$39-$C70)/SAP!$C$10)*'C&amp;B'!$D$13/SAP!$C$143)+D$26)&lt;=SAP!$F$151,IF(D$39&lt;=$C70,D$26,(((D$39-$C70)/SAP!$C$10)*'C&amp;B'!$D$13/SAP!$C$143)+D$26),"Not Possible")</f>
        <v>Not Possible</v>
      </c>
      <c r="E70" s="131" t="str">
        <f>IF(IF(E$39&lt;=$C70,E$26,(((E$39-$C70)/SAP!$C$10)*'C&amp;B'!$D$13/SAP!$C$143)+E$26)&lt;=SAP!$F$151,IF(E$39&lt;=$C70,E$26,(((E$39-$C70)/SAP!$C$10)*'C&amp;B'!$D$13/SAP!$C$143)+E$26),"Not Possible")</f>
        <v>Not Possible</v>
      </c>
      <c r="F70" s="131">
        <f>IF(IF(F$39&lt;=$C70,F$26,(((F$39-$C70)/SAP!$C$10)*'C&amp;B'!$D$13/SAP!$C$143)+F$26)&lt;=SAP!$F$151,IF(F$39&lt;=$C70,F$26,(((F$39-$C70)/SAP!$C$10)*'C&amp;B'!$D$13/SAP!$C$143)+F$26),"Not Possible")</f>
        <v>1.0867077596619887</v>
      </c>
      <c r="G70" s="131" t="str">
        <f>IF(IF(G$39&lt;=$C70,G$26,(((G$39-$C70)/SAP!$C$10)*'C&amp;B'!$D$13/SAP!$C$143)+G$26)&lt;=SAP!$F$151,IF(G$39&lt;=$C70,G$26,(((G$39-$C70)/SAP!$C$10)*'C&amp;B'!$D$13/SAP!$C$143)+G$26),"Not Possible")</f>
        <v>Not Possible</v>
      </c>
      <c r="H70" s="131">
        <f>IF(IF(H$39&lt;=$C70,H$26,(((H$39-$C70)/SAP!$C$10)*'C&amp;B'!$D$13/SAP!$C$143)+H$26)&lt;=SAP!$F$151,IF(H$39&lt;=$C70,H$26,(((H$39-$C70)/SAP!$C$10)*'C&amp;B'!$D$13/SAP!$C$143)+H$26),"Not Possible")</f>
        <v>1.4066813322618466</v>
      </c>
      <c r="I70" s="131" t="str">
        <f>IF(IF(I$39&lt;=$C70,I$26,(((I$39-$C70)/SAP!$C$10)*'C&amp;B'!$D$13/SAP!$C$143)+I$26)&lt;=SAP!$F$151,IF(I$39&lt;=$C70,I$26,(((I$39-$C70)/SAP!$C$10)*'C&amp;B'!$D$13/SAP!$C$143)+I$26),"Not Possible")</f>
        <v>Not Possible</v>
      </c>
      <c r="J70" s="131">
        <f>IF(IF(J$39&lt;=$C70,J$26,(((J$39-$C70)/SAP!$C$10)*'C&amp;B'!$D$13/SAP!$C$143)+J$26)&lt;=SAP!$F$151,IF(J$39&lt;=$C70,J$26,(((J$39-$C70)/SAP!$C$10)*'C&amp;B'!$D$13/SAP!$C$143)+J$26),"Not Possible")</f>
        <v>1.3875544933797688</v>
      </c>
      <c r="K70" s="131" t="str">
        <f>IF(IF(K$39&lt;=$C70,K$26,(((K$39-$C70)/SAP!$C$10)*'C&amp;B'!$D$13/SAP!$C$143)+K$26)&lt;=SAP!$F$151,IF(K$39&lt;=$C70,K$26,(((K$39-$C70)/SAP!$C$10)*'C&amp;B'!$D$13/SAP!$C$143)+K$26),"Not Possible")</f>
        <v>Not Possible</v>
      </c>
      <c r="L70" s="131">
        <f>IF(IF(L$39&lt;=$C70,L$26,(((L$39-$C70)/SAP!$C$10)*'C&amp;B'!$D$13/SAP!$C$143)+L$26)&lt;=SAP!$F$151,IF(L$39&lt;=$C70,L$26,(((L$39-$C70)/SAP!$C$10)*'C&amp;B'!$D$13/SAP!$C$143)+L$26),"Not Possible")</f>
        <v>1.4066813322618466</v>
      </c>
      <c r="M70" s="131" t="str">
        <f>IF(IF(M$39&lt;=$C70,M$26,(((M$39-$C70)/SAP!$C$10)*'C&amp;B'!$D$13/SAP!$C$143)+M$26)&lt;=SAP!$F$151,IF(M$39&lt;=$C70,M$26,(((M$39-$C70)/SAP!$C$10)*'C&amp;B'!$D$13/SAP!$C$143)+M$26),"Not Possible")</f>
        <v>Not Possible</v>
      </c>
      <c r="N70" s="131">
        <f>IF(IF(N$39&lt;=$C70,N$26,(((N$39-$C70)/SAP!$C$10)*'C&amp;B'!$D$13/SAP!$C$143)+N$26)&lt;=SAP!$F$151,IF(N$39&lt;=$C70,N$26,(((N$39-$C70)/SAP!$C$10)*'C&amp;B'!$D$13/SAP!$C$143)+N$26),"Not Possible")</f>
        <v>1.0389976296366288</v>
      </c>
      <c r="O70" s="131" t="str">
        <f>IF(IF(O$39&lt;=$C70,O$26,(((O$39-$C70)/SAP!$C$10)*'C&amp;B'!$D$13/SAP!$C$143)+O$26)&lt;=SAP!$F$151,IF(O$39&lt;=$C70,O$26,(((O$39-$C70)/SAP!$C$10)*'C&amp;B'!$D$13/SAP!$C$143)+O$26),"Not Possible")</f>
        <v>Not Possible</v>
      </c>
      <c r="P70" s="131">
        <f>IF(IF(P$39&lt;=$C70,P$26,(((P$39-$C70)/SAP!$C$10)*'C&amp;B'!$D$13/SAP!$C$143)+P$26)&lt;=SAP!$F$151,IF(P$39&lt;=$C70,P$26,(((P$39-$C70)/SAP!$C$10)*'C&amp;B'!$D$13/SAP!$C$143)+P$26),"Not Possible")</f>
        <v>1.3243700802476586</v>
      </c>
      <c r="Q70" s="131" t="str">
        <f>IF(IF(Q$39&lt;=$C70,Q$26,(((Q$39-$C70)/SAP!$C$10)*'C&amp;B'!$D$13/SAP!$C$143)+Q$26)&lt;=SAP!$F$151,IF(Q$39&lt;=$C70,Q$26,(((Q$39-$C70)/SAP!$C$10)*'C&amp;B'!$D$13/SAP!$C$143)+Q$26),"Not Possible")</f>
        <v>Not Possible</v>
      </c>
      <c r="R70" s="131">
        <f>IF(IF(R$39&lt;=$C70,R$26,(((R$39-$C70)/SAP!$C$10)*'C&amp;B'!$D$13/SAP!$C$143)+R$26)&lt;=SAP!$F$151,IF(R$39&lt;=$C70,R$26,(((R$39-$C70)/SAP!$C$10)*'C&amp;B'!$D$13/SAP!$C$143)+R$26),"Not Possible")</f>
        <v>1.2036182633875159</v>
      </c>
      <c r="S70" s="131">
        <f>IF(IF(S$39&lt;=$C70,S$26,(((S$39-$C70)/SAP!$C$10)*'C&amp;B'!$D$13/SAP!$C$143)+S$26)&lt;=SAP!$F$151,IF(S$39&lt;=$C70,S$26,(((S$39-$C70)/SAP!$C$10)*'C&amp;B'!$D$13/SAP!$C$143)+S$26),"Not Possible")</f>
        <v>0.90325505633975256</v>
      </c>
      <c r="T70" s="131">
        <f>IF(IF(T$39&lt;=$C70,T$26,(((T$39-$C70)/SAP!$C$10)*'C&amp;B'!$D$13/SAP!$C$143)+T$26)&lt;=SAP!$F$151,IF(T$39&lt;=$C70,T$26,(((T$39-$C70)/SAP!$C$10)*'C&amp;B'!$D$13/SAP!$C$143)+T$26),"Not Possible")</f>
        <v>1.2313922580463454</v>
      </c>
      <c r="V70" s="130" t="s">
        <v>613</v>
      </c>
      <c r="W70" s="82" t="e">
        <f>IF(D70=0,0,IF(D70&lt;4,'C&amp;B'!$E$316+(D70*'C&amp;B'!$E$317),D70*'C&amp;B'!$E$318))</f>
        <v>#VALUE!</v>
      </c>
      <c r="X70" s="82" t="e">
        <f>IF(E70=0,0,IF(E70&lt;4,'C&amp;B'!$E$316+(E70*'C&amp;B'!$E$317),E70*'C&amp;B'!$E$318))</f>
        <v>#VALUE!</v>
      </c>
      <c r="Y70" s="82">
        <f>IF(F70=0,0,IF(F70&lt;4,'C&amp;B'!$E$316+(F70*'C&amp;B'!$E$317),F70*'C&amp;B'!$E$318))</f>
        <v>1752.0246557971932</v>
      </c>
      <c r="Z70" s="82" t="e">
        <f>IF(G70=0,0,IF(G70&lt;4,'C&amp;B'!$E$316+(G70*'C&amp;B'!$E$317),G70*'C&amp;B'!$E$318))</f>
        <v>#VALUE!</v>
      </c>
      <c r="AA70" s="82">
        <f>IF(H70=0,0,IF(H70&lt;4,'C&amp;B'!$E$316+(H70*'C&amp;B'!$E$317),H70*'C&amp;B'!$E$318))</f>
        <v>1944.0087993571078</v>
      </c>
      <c r="AB70" s="82" t="e">
        <f>IF(I70=0,0,IF(I70&lt;4,'C&amp;B'!$E$316+(I70*'C&amp;B'!$E$317),I70*'C&amp;B'!$E$318))</f>
        <v>#VALUE!</v>
      </c>
      <c r="AC70" s="82">
        <f>IF(J70=0,0,IF(J70&lt;4,'C&amp;B'!$E$316+(J70*'C&amp;B'!$E$317),J70*'C&amp;B'!$E$318))</f>
        <v>1932.5326960278612</v>
      </c>
      <c r="AD70" s="82" t="e">
        <f>IF(K70=0,0,IF(K70&lt;4,'C&amp;B'!$E$316+(K70*'C&amp;B'!$E$317),K70*'C&amp;B'!$E$318))</f>
        <v>#VALUE!</v>
      </c>
      <c r="AE70" s="82">
        <f>IF(L70=0,0,IF(L70&lt;4,'C&amp;B'!$E$316+(L70*'C&amp;B'!$E$317),L70*'C&amp;B'!$E$318))</f>
        <v>1944.0087993571078</v>
      </c>
      <c r="AF70" s="82" t="e">
        <f>IF(M70=0,0,IF(M70&lt;4,'C&amp;B'!$E$316+(M70*'C&amp;B'!$E$317),M70*'C&amp;B'!$E$318))</f>
        <v>#VALUE!</v>
      </c>
      <c r="AG70" s="82">
        <f>IF(N70=0,0,IF(N70&lt;4,'C&amp;B'!$E$316+(N70*'C&amp;B'!$E$317),N70*'C&amp;B'!$E$318))</f>
        <v>1723.3985777819771</v>
      </c>
      <c r="AH70" s="82" t="e">
        <f>IF(O70=0,0,IF(O70&lt;4,'C&amp;B'!$E$316+(O70*'C&amp;B'!$E$317),O70*'C&amp;B'!$E$318))</f>
        <v>#VALUE!</v>
      </c>
      <c r="AI70" s="82">
        <f>IF(P70=0,0,IF(P70&lt;4,'C&amp;B'!$E$316+(P70*'C&amp;B'!$E$317),P70*'C&amp;B'!$E$318))</f>
        <v>1894.6220481485952</v>
      </c>
      <c r="AJ70" s="82" t="e">
        <f>IF(Q70=0,0,IF(Q70&lt;4,'C&amp;B'!$E$316+(Q70*'C&amp;B'!$E$317),Q70*'C&amp;B'!$E$318))</f>
        <v>#VALUE!</v>
      </c>
      <c r="AK70" s="82">
        <f>IF(R70=0,0,IF(R70&lt;4,'C&amp;B'!$E$316+(R70*'C&amp;B'!$E$317),R70*'C&amp;B'!$E$318))</f>
        <v>1822.1709580325096</v>
      </c>
      <c r="AL70" s="82">
        <f>IF(S70=0,0,IF(S70&lt;4,'C&amp;B'!$E$316+(S70*'C&amp;B'!$E$317),S70*'C&amp;B'!$E$318))</f>
        <v>1641.9530338038517</v>
      </c>
      <c r="AM70" s="82">
        <f>IF(T70=0,0,IF(T70&lt;4,'C&amp;B'!$E$316+(T70*'C&amp;B'!$E$317),T70*'C&amp;B'!$E$318))</f>
        <v>1838.8353548278074</v>
      </c>
      <c r="AO70" s="130" t="s">
        <v>613</v>
      </c>
      <c r="AP70" s="82" t="e">
        <f t="shared" si="30"/>
        <v>#VALUE!</v>
      </c>
      <c r="AQ70" s="82" t="e">
        <f t="shared" si="29"/>
        <v>#VALUE!</v>
      </c>
      <c r="AR70" s="82">
        <f t="shared" si="29"/>
        <v>27290.024655797191</v>
      </c>
      <c r="AS70" s="82" t="e">
        <f t="shared" si="29"/>
        <v>#VALUE!</v>
      </c>
      <c r="AT70" s="82">
        <f t="shared" si="29"/>
        <v>27272.008799357107</v>
      </c>
      <c r="AU70" s="82" t="e">
        <f t="shared" si="29"/>
        <v>#VALUE!</v>
      </c>
      <c r="AV70" s="82">
        <f t="shared" si="29"/>
        <v>28615.532696027862</v>
      </c>
      <c r="AW70" s="82" t="e">
        <f t="shared" si="29"/>
        <v>#VALUE!</v>
      </c>
      <c r="AX70" s="82">
        <f t="shared" si="29"/>
        <v>27272.008799357107</v>
      </c>
      <c r="AY70" s="82" t="e">
        <f t="shared" si="29"/>
        <v>#VALUE!</v>
      </c>
      <c r="AZ70" s="82">
        <f t="shared" si="29"/>
        <v>27679.398577781976</v>
      </c>
      <c r="BA70" s="82" t="e">
        <f t="shared" si="29"/>
        <v>#VALUE!</v>
      </c>
      <c r="BB70" s="82">
        <f t="shared" si="29"/>
        <v>28577.622048148594</v>
      </c>
      <c r="BC70" s="82" t="e">
        <f t="shared" si="29"/>
        <v>#VALUE!</v>
      </c>
      <c r="BD70" s="82">
        <f t="shared" si="29"/>
        <v>28831.170958032511</v>
      </c>
      <c r="BE70" s="82">
        <f t="shared" si="29"/>
        <v>28123.953033803853</v>
      </c>
      <c r="BF70" s="82">
        <f t="shared" si="29"/>
        <v>27112.835354827806</v>
      </c>
    </row>
    <row r="71" spans="2:60">
      <c r="B71" s="114" t="s">
        <v>614</v>
      </c>
      <c r="C71" s="127">
        <f>SAP!D172</f>
        <v>1.901900980306811</v>
      </c>
      <c r="D71" s="131" t="str">
        <f>IF(IF(D$39&lt;=$C71,D$26,(((D$39-$C71)/SAP!$C$10)*'C&amp;B'!$D$13/SAP!$C$143)+D$26)&lt;=SAP!$F$151,IF(D$39&lt;=$C71,D$26,(((D$39-$C71)/SAP!$C$10)*'C&amp;B'!$D$13/SAP!$C$143)+D$26),"Not Possible")</f>
        <v>Not Possible</v>
      </c>
      <c r="E71" s="131" t="str">
        <f>IF(IF(E$39&lt;=$C71,E$26,(((E$39-$C71)/SAP!$C$10)*'C&amp;B'!$D$13/SAP!$C$143)+E$26)&lt;=SAP!$F$151,IF(E$39&lt;=$C71,E$26,(((E$39-$C71)/SAP!$C$10)*'C&amp;B'!$D$13/SAP!$C$143)+E$26),"Not Possible")</f>
        <v>Not Possible</v>
      </c>
      <c r="F71" s="131">
        <f>IF(IF(F$39&lt;=$C71,F$26,(((F$39-$C71)/SAP!$C$10)*'C&amp;B'!$D$13/SAP!$C$143)+F$26)&lt;=SAP!$F$151,IF(F$39&lt;=$C71,F$26,(((F$39-$C71)/SAP!$C$10)*'C&amp;B'!$D$13/SAP!$C$143)+F$26),"Not Possible")</f>
        <v>1.3470909783242726</v>
      </c>
      <c r="G71" s="131" t="str">
        <f>IF(IF(G$39&lt;=$C71,G$26,(((G$39-$C71)/SAP!$C$10)*'C&amp;B'!$D$13/SAP!$C$143)+G$26)&lt;=SAP!$F$151,IF(G$39&lt;=$C71,G$26,(((G$39-$C71)/SAP!$C$10)*'C&amp;B'!$D$13/SAP!$C$143)+G$26),"Not Possible")</f>
        <v>Not Possible</v>
      </c>
      <c r="H71" s="131">
        <f>IF(IF(H$39&lt;=$C71,H$26,(((H$39-$C71)/SAP!$C$10)*'C&amp;B'!$D$13/SAP!$C$143)+H$26)&lt;=SAP!$F$151,IF(H$39&lt;=$C71,H$26,(((H$39-$C71)/SAP!$C$10)*'C&amp;B'!$D$13/SAP!$C$143)+H$26),"Not Possible")</f>
        <v>1.6670645509241302</v>
      </c>
      <c r="I71" s="131" t="str">
        <f>IF(IF(I$39&lt;=$C71,I$26,(((I$39-$C71)/SAP!$C$10)*'C&amp;B'!$D$13/SAP!$C$143)+I$26)&lt;=SAP!$F$151,IF(I$39&lt;=$C71,I$26,(((I$39-$C71)/SAP!$C$10)*'C&amp;B'!$D$13/SAP!$C$143)+I$26),"Not Possible")</f>
        <v>Not Possible</v>
      </c>
      <c r="J71" s="131">
        <f>IF(IF(J$39&lt;=$C71,J$26,(((J$39-$C71)/SAP!$C$10)*'C&amp;B'!$D$13/SAP!$C$143)+J$26)&lt;=SAP!$F$151,IF(J$39&lt;=$C71,J$26,(((J$39-$C71)/SAP!$C$10)*'C&amp;B'!$D$13/SAP!$C$143)+J$26),"Not Possible")</f>
        <v>1.6479377120420524</v>
      </c>
      <c r="K71" s="131" t="str">
        <f>IF(IF(K$39&lt;=$C71,K$26,(((K$39-$C71)/SAP!$C$10)*'C&amp;B'!$D$13/SAP!$C$143)+K$26)&lt;=SAP!$F$151,IF(K$39&lt;=$C71,K$26,(((K$39-$C71)/SAP!$C$10)*'C&amp;B'!$D$13/SAP!$C$143)+K$26),"Not Possible")</f>
        <v>Not Possible</v>
      </c>
      <c r="L71" s="131">
        <f>IF(IF(L$39&lt;=$C71,L$26,(((L$39-$C71)/SAP!$C$10)*'C&amp;B'!$D$13/SAP!$C$143)+L$26)&lt;=SAP!$F$151,IF(L$39&lt;=$C71,L$26,(((L$39-$C71)/SAP!$C$10)*'C&amp;B'!$D$13/SAP!$C$143)+L$26),"Not Possible")</f>
        <v>1.6670645509241302</v>
      </c>
      <c r="M71" s="131" t="str">
        <f>IF(IF(M$39&lt;=$C71,M$26,(((M$39-$C71)/SAP!$C$10)*'C&amp;B'!$D$13/SAP!$C$143)+M$26)&lt;=SAP!$F$151,IF(M$39&lt;=$C71,M$26,(((M$39-$C71)/SAP!$C$10)*'C&amp;B'!$D$13/SAP!$C$143)+M$26),"Not Possible")</f>
        <v>Not Possible</v>
      </c>
      <c r="N71" s="131">
        <f>IF(IF(N$39&lt;=$C71,N$26,(((N$39-$C71)/SAP!$C$10)*'C&amp;B'!$D$13/SAP!$C$143)+N$26)&lt;=SAP!$F$151,IF(N$39&lt;=$C71,N$26,(((N$39-$C71)/SAP!$C$10)*'C&amp;B'!$D$13/SAP!$C$143)+N$26),"Not Possible")</f>
        <v>1.2993808482989124</v>
      </c>
      <c r="O71" s="131" t="str">
        <f>IF(IF(O$39&lt;=$C71,O$26,(((O$39-$C71)/SAP!$C$10)*'C&amp;B'!$D$13/SAP!$C$143)+O$26)&lt;=SAP!$F$151,IF(O$39&lt;=$C71,O$26,(((O$39-$C71)/SAP!$C$10)*'C&amp;B'!$D$13/SAP!$C$143)+O$26),"Not Possible")</f>
        <v>Not Possible</v>
      </c>
      <c r="P71" s="131">
        <f>IF(IF(P$39&lt;=$C71,P$26,(((P$39-$C71)/SAP!$C$10)*'C&amp;B'!$D$13/SAP!$C$143)+P$26)&lt;=SAP!$F$151,IF(P$39&lt;=$C71,P$26,(((P$39-$C71)/SAP!$C$10)*'C&amp;B'!$D$13/SAP!$C$143)+P$26),"Not Possible")</f>
        <v>1.5847532989099424</v>
      </c>
      <c r="Q71" s="131" t="str">
        <f>IF(IF(Q$39&lt;=$C71,Q$26,(((Q$39-$C71)/SAP!$C$10)*'C&amp;B'!$D$13/SAP!$C$143)+Q$26)&lt;=SAP!$F$151,IF(Q$39&lt;=$C71,Q$26,(((Q$39-$C71)/SAP!$C$10)*'C&amp;B'!$D$13/SAP!$C$143)+Q$26),"Not Possible")</f>
        <v>Not Possible</v>
      </c>
      <c r="R71" s="131">
        <f>IF(IF(R$39&lt;=$C71,R$26,(((R$39-$C71)/SAP!$C$10)*'C&amp;B'!$D$13/SAP!$C$143)+R$26)&lt;=SAP!$F$151,IF(R$39&lt;=$C71,R$26,(((R$39-$C71)/SAP!$C$10)*'C&amp;B'!$D$13/SAP!$C$143)+R$26),"Not Possible")</f>
        <v>1.4640014820497995</v>
      </c>
      <c r="S71" s="131">
        <f>IF(IF(S$39&lt;=$C71,S$26,(((S$39-$C71)/SAP!$C$10)*'C&amp;B'!$D$13/SAP!$C$143)+S$26)&lt;=SAP!$F$151,IF(S$39&lt;=$C71,S$26,(((S$39-$C71)/SAP!$C$10)*'C&amp;B'!$D$13/SAP!$C$143)+S$26),"Not Possible")</f>
        <v>1.1636382750020362</v>
      </c>
      <c r="T71" s="131">
        <f>IF(IF(T$39&lt;=$C71,T$26,(((T$39-$C71)/SAP!$C$10)*'C&amp;B'!$D$13/SAP!$C$143)+T$26)&lt;=SAP!$F$151,IF(T$39&lt;=$C71,T$26,(((T$39-$C71)/SAP!$C$10)*'C&amp;B'!$D$13/SAP!$C$143)+T$26),"Not Possible")</f>
        <v>1.4917754767086291</v>
      </c>
      <c r="V71" s="130" t="s">
        <v>614</v>
      </c>
      <c r="W71" s="82" t="e">
        <f>IF(D71=0,0,IF(D71&lt;4,'C&amp;B'!$E$316+(D71*'C&amp;B'!$E$317),D71*'C&amp;B'!$E$318))</f>
        <v>#VALUE!</v>
      </c>
      <c r="X71" s="82" t="e">
        <f>IF(E71=0,0,IF(E71&lt;4,'C&amp;B'!$E$316+(E71*'C&amp;B'!$E$317),E71*'C&amp;B'!$E$318))</f>
        <v>#VALUE!</v>
      </c>
      <c r="Y71" s="82">
        <f>IF(F71=0,0,IF(F71&lt;4,'C&amp;B'!$E$316+(F71*'C&amp;B'!$E$317),F71*'C&amp;B'!$E$318))</f>
        <v>1908.2545869945634</v>
      </c>
      <c r="Z71" s="82" t="e">
        <f>IF(G71=0,0,IF(G71&lt;4,'C&amp;B'!$E$316+(G71*'C&amp;B'!$E$317),G71*'C&amp;B'!$E$318))</f>
        <v>#VALUE!</v>
      </c>
      <c r="AA71" s="82">
        <f>IF(H71=0,0,IF(H71&lt;4,'C&amp;B'!$E$316+(H71*'C&amp;B'!$E$317),H71*'C&amp;B'!$E$318))</f>
        <v>2100.238730554478</v>
      </c>
      <c r="AB71" s="82" t="e">
        <f>IF(I71=0,0,IF(I71&lt;4,'C&amp;B'!$E$316+(I71*'C&amp;B'!$E$317),I71*'C&amp;B'!$E$318))</f>
        <v>#VALUE!</v>
      </c>
      <c r="AC71" s="82">
        <f>IF(J71=0,0,IF(J71&lt;4,'C&amp;B'!$E$316+(J71*'C&amp;B'!$E$317),J71*'C&amp;B'!$E$318))</f>
        <v>2088.7626272252314</v>
      </c>
      <c r="AD71" s="82" t="e">
        <f>IF(K71=0,0,IF(K71&lt;4,'C&amp;B'!$E$316+(K71*'C&amp;B'!$E$317),K71*'C&amp;B'!$E$318))</f>
        <v>#VALUE!</v>
      </c>
      <c r="AE71" s="82">
        <f>IF(L71=0,0,IF(L71&lt;4,'C&amp;B'!$E$316+(L71*'C&amp;B'!$E$317),L71*'C&amp;B'!$E$318))</f>
        <v>2100.238730554478</v>
      </c>
      <c r="AF71" s="82" t="e">
        <f>IF(M71=0,0,IF(M71&lt;4,'C&amp;B'!$E$316+(M71*'C&amp;B'!$E$317),M71*'C&amp;B'!$E$318))</f>
        <v>#VALUE!</v>
      </c>
      <c r="AG71" s="82">
        <f>IF(N71=0,0,IF(N71&lt;4,'C&amp;B'!$E$316+(N71*'C&amp;B'!$E$317),N71*'C&amp;B'!$E$318))</f>
        <v>1879.6285089793473</v>
      </c>
      <c r="AH71" s="82" t="e">
        <f>IF(O71=0,0,IF(O71&lt;4,'C&amp;B'!$E$316+(O71*'C&amp;B'!$E$317),O71*'C&amp;B'!$E$318))</f>
        <v>#VALUE!</v>
      </c>
      <c r="AI71" s="82">
        <f>IF(P71=0,0,IF(P71&lt;4,'C&amp;B'!$E$316+(P71*'C&amp;B'!$E$317),P71*'C&amp;B'!$E$318))</f>
        <v>2050.8519793459654</v>
      </c>
      <c r="AJ71" s="82" t="e">
        <f>IF(Q71=0,0,IF(Q71&lt;4,'C&amp;B'!$E$316+(Q71*'C&amp;B'!$E$317),Q71*'C&amp;B'!$E$318))</f>
        <v>#VALUE!</v>
      </c>
      <c r="AK71" s="82">
        <f>IF(R71=0,0,IF(R71&lt;4,'C&amp;B'!$E$316+(R71*'C&amp;B'!$E$317),R71*'C&amp;B'!$E$318))</f>
        <v>1978.4008892298798</v>
      </c>
      <c r="AL71" s="82">
        <f>IF(S71=0,0,IF(S71&lt;4,'C&amp;B'!$E$316+(S71*'C&amp;B'!$E$317),S71*'C&amp;B'!$E$318))</f>
        <v>1798.1829650012219</v>
      </c>
      <c r="AM71" s="82">
        <f>IF(T71=0,0,IF(T71&lt;4,'C&amp;B'!$E$316+(T71*'C&amp;B'!$E$317),T71*'C&amp;B'!$E$318))</f>
        <v>1995.0652860251776</v>
      </c>
      <c r="AO71" s="130" t="s">
        <v>614</v>
      </c>
      <c r="AP71" s="82" t="e">
        <f t="shared" si="30"/>
        <v>#VALUE!</v>
      </c>
      <c r="AQ71" s="82" t="e">
        <f t="shared" si="29"/>
        <v>#VALUE!</v>
      </c>
      <c r="AR71" s="82">
        <f t="shared" si="29"/>
        <v>27446.254586994564</v>
      </c>
      <c r="AS71" s="82" t="e">
        <f t="shared" si="29"/>
        <v>#VALUE!</v>
      </c>
      <c r="AT71" s="82">
        <f t="shared" si="29"/>
        <v>27428.238730554476</v>
      </c>
      <c r="AU71" s="82" t="e">
        <f t="shared" si="29"/>
        <v>#VALUE!</v>
      </c>
      <c r="AV71" s="82">
        <f t="shared" si="29"/>
        <v>28771.762627225231</v>
      </c>
      <c r="AW71" s="82" t="e">
        <f t="shared" si="29"/>
        <v>#VALUE!</v>
      </c>
      <c r="AX71" s="82">
        <f t="shared" si="29"/>
        <v>27428.238730554476</v>
      </c>
      <c r="AY71" s="82" t="e">
        <f t="shared" si="29"/>
        <v>#VALUE!</v>
      </c>
      <c r="AZ71" s="82">
        <f t="shared" si="29"/>
        <v>27835.628508979345</v>
      </c>
      <c r="BA71" s="82" t="e">
        <f t="shared" si="29"/>
        <v>#VALUE!</v>
      </c>
      <c r="BB71" s="82">
        <f t="shared" si="29"/>
        <v>28733.851979345964</v>
      </c>
      <c r="BC71" s="82" t="e">
        <f t="shared" si="29"/>
        <v>#VALUE!</v>
      </c>
      <c r="BD71" s="82">
        <f t="shared" si="29"/>
        <v>28987.400889229881</v>
      </c>
      <c r="BE71" s="82">
        <f t="shared" si="29"/>
        <v>28280.182965001222</v>
      </c>
      <c r="BF71" s="82">
        <f t="shared" si="29"/>
        <v>27269.065286025179</v>
      </c>
    </row>
    <row r="72" spans="2:60">
      <c r="B72" s="114" t="s">
        <v>615</v>
      </c>
      <c r="C72" s="127">
        <f>SAP!D173</f>
        <v>0</v>
      </c>
      <c r="D72" s="131" t="str">
        <f>IF(IF(D$39&lt;=$C72,D$26,(((D$39-$C72)/SAP!$C$10)*'C&amp;B'!$D$13/SAP!$C$143)+D$26)&lt;=SAP!$F$151,IF(D$39&lt;=$C72,D$26,(((D$39-$C72)/SAP!$C$10)*'C&amp;B'!$D$13/SAP!$C$143)+D$26),"Not Possible")</f>
        <v>Not Possible</v>
      </c>
      <c r="E72" s="131" t="str">
        <f>IF(IF(E$39&lt;=$C72,E$26,(((E$39-$C72)/SAP!$C$10)*'C&amp;B'!$D$13/SAP!$C$143)+E$26)&lt;=SAP!$F$151,IF(E$39&lt;=$C72,E$26,(((E$39-$C72)/SAP!$C$10)*'C&amp;B'!$D$13/SAP!$C$143)+E$26),"Not Possible")</f>
        <v>Not Possible</v>
      </c>
      <c r="F72" s="131">
        <f>IF(IF(F$39&lt;=$C72,F$26,(((F$39-$C72)/SAP!$C$10)*'C&amp;B'!$D$13/SAP!$C$143)+F$26)&lt;=SAP!$F$151,IF(F$39&lt;=$C72,F$26,(((F$39-$C72)/SAP!$C$10)*'C&amp;B'!$D$13/SAP!$C$143)+F$26),"Not Possible")</f>
        <v>2.6490070716356913</v>
      </c>
      <c r="G72" s="131" t="str">
        <f>IF(IF(G$39&lt;=$C72,G$26,(((G$39-$C72)/SAP!$C$10)*'C&amp;B'!$D$13/SAP!$C$143)+G$26)&lt;=SAP!$F$151,IF(G$39&lt;=$C72,G$26,(((G$39-$C72)/SAP!$C$10)*'C&amp;B'!$D$13/SAP!$C$143)+G$26),"Not Possible")</f>
        <v>Not Possible</v>
      </c>
      <c r="H72" s="131">
        <f>IF(IF(H$39&lt;=$C72,H$26,(((H$39-$C72)/SAP!$C$10)*'C&amp;B'!$D$13/SAP!$C$143)+H$26)&lt;=SAP!$F$151,IF(H$39&lt;=$C72,H$26,(((H$39-$C72)/SAP!$C$10)*'C&amp;B'!$D$13/SAP!$C$143)+H$26),"Not Possible")</f>
        <v>2.9689806442355495</v>
      </c>
      <c r="I72" s="131" t="str">
        <f>IF(IF(I$39&lt;=$C72,I$26,(((I$39-$C72)/SAP!$C$10)*'C&amp;B'!$D$13/SAP!$C$143)+I$26)&lt;=SAP!$F$151,IF(I$39&lt;=$C72,I$26,(((I$39-$C72)/SAP!$C$10)*'C&amp;B'!$D$13/SAP!$C$143)+I$26),"Not Possible")</f>
        <v>Not Possible</v>
      </c>
      <c r="J72" s="131">
        <f>IF(IF(J$39&lt;=$C72,J$26,(((J$39-$C72)/SAP!$C$10)*'C&amp;B'!$D$13/SAP!$C$143)+J$26)&lt;=SAP!$F$151,IF(J$39&lt;=$C72,J$26,(((J$39-$C72)/SAP!$C$10)*'C&amp;B'!$D$13/SAP!$C$143)+J$26),"Not Possible")</f>
        <v>2.9498538053534715</v>
      </c>
      <c r="K72" s="131" t="str">
        <f>IF(IF(K$39&lt;=$C72,K$26,(((K$39-$C72)/SAP!$C$10)*'C&amp;B'!$D$13/SAP!$C$143)+K$26)&lt;=SAP!$F$151,IF(K$39&lt;=$C72,K$26,(((K$39-$C72)/SAP!$C$10)*'C&amp;B'!$D$13/SAP!$C$143)+K$26),"Not Possible")</f>
        <v>Not Possible</v>
      </c>
      <c r="L72" s="131">
        <f>IF(IF(L$39&lt;=$C72,L$26,(((L$39-$C72)/SAP!$C$10)*'C&amp;B'!$D$13/SAP!$C$143)+L$26)&lt;=SAP!$F$151,IF(L$39&lt;=$C72,L$26,(((L$39-$C72)/SAP!$C$10)*'C&amp;B'!$D$13/SAP!$C$143)+L$26),"Not Possible")</f>
        <v>2.9689806442355495</v>
      </c>
      <c r="M72" s="131" t="str">
        <f>IF(IF(M$39&lt;=$C72,M$26,(((M$39-$C72)/SAP!$C$10)*'C&amp;B'!$D$13/SAP!$C$143)+M$26)&lt;=SAP!$F$151,IF(M$39&lt;=$C72,M$26,(((M$39-$C72)/SAP!$C$10)*'C&amp;B'!$D$13/SAP!$C$143)+M$26),"Not Possible")</f>
        <v>Not Possible</v>
      </c>
      <c r="N72" s="131">
        <f>IF(IF(N$39&lt;=$C72,N$26,(((N$39-$C72)/SAP!$C$10)*'C&amp;B'!$D$13/SAP!$C$143)+N$26)&lt;=SAP!$F$151,IF(N$39&lt;=$C72,N$26,(((N$39-$C72)/SAP!$C$10)*'C&amp;B'!$D$13/SAP!$C$143)+N$26),"Not Possible")</f>
        <v>2.6012969416103315</v>
      </c>
      <c r="O72" s="131" t="str">
        <f>IF(IF(O$39&lt;=$C72,O$26,(((O$39-$C72)/SAP!$C$10)*'C&amp;B'!$D$13/SAP!$C$143)+O$26)&lt;=SAP!$F$151,IF(O$39&lt;=$C72,O$26,(((O$39-$C72)/SAP!$C$10)*'C&amp;B'!$D$13/SAP!$C$143)+O$26),"Not Possible")</f>
        <v>Not Possible</v>
      </c>
      <c r="P72" s="131">
        <f>IF(IF(P$39&lt;=$C72,P$26,(((P$39-$C72)/SAP!$C$10)*'C&amp;B'!$D$13/SAP!$C$143)+P$26)&lt;=SAP!$F$151,IF(P$39&lt;=$C72,P$26,(((P$39-$C72)/SAP!$C$10)*'C&amp;B'!$D$13/SAP!$C$143)+P$26),"Not Possible")</f>
        <v>2.8866693922213615</v>
      </c>
      <c r="Q72" s="131" t="str">
        <f>IF(IF(Q$39&lt;=$C72,Q$26,(((Q$39-$C72)/SAP!$C$10)*'C&amp;B'!$D$13/SAP!$C$143)+Q$26)&lt;=SAP!$F$151,IF(Q$39&lt;=$C72,Q$26,(((Q$39-$C72)/SAP!$C$10)*'C&amp;B'!$D$13/SAP!$C$143)+Q$26),"Not Possible")</f>
        <v>Not Possible</v>
      </c>
      <c r="R72" s="131">
        <f>IF(IF(R$39&lt;=$C72,R$26,(((R$39-$C72)/SAP!$C$10)*'C&amp;B'!$D$13/SAP!$C$143)+R$26)&lt;=SAP!$F$151,IF(R$39&lt;=$C72,R$26,(((R$39-$C72)/SAP!$C$10)*'C&amp;B'!$D$13/SAP!$C$143)+R$26),"Not Possible")</f>
        <v>2.7659175753612186</v>
      </c>
      <c r="S72" s="131">
        <f>IF(IF(S$39&lt;=$C72,S$26,(((S$39-$C72)/SAP!$C$10)*'C&amp;B'!$D$13/SAP!$C$143)+S$26)&lt;=SAP!$F$151,IF(S$39&lt;=$C72,S$26,(((S$39-$C72)/SAP!$C$10)*'C&amp;B'!$D$13/SAP!$C$143)+S$26),"Not Possible")</f>
        <v>2.4655543683134553</v>
      </c>
      <c r="T72" s="131">
        <f>IF(IF(T$39&lt;=$C72,T$26,(((T$39-$C72)/SAP!$C$10)*'C&amp;B'!$D$13/SAP!$C$143)+T$26)&lt;=SAP!$F$151,IF(T$39&lt;=$C72,T$26,(((T$39-$C72)/SAP!$C$10)*'C&amp;B'!$D$13/SAP!$C$143)+T$26),"Not Possible")</f>
        <v>2.7936915700200484</v>
      </c>
      <c r="V72" s="130" t="s">
        <v>615</v>
      </c>
      <c r="W72" s="82" t="e">
        <f>IF(D72=0,0,IF(D72&lt;4,'C&amp;B'!$E$316+(D72*'C&amp;B'!$E$317),D72*'C&amp;B'!$E$318))</f>
        <v>#VALUE!</v>
      </c>
      <c r="X72" s="82" t="e">
        <f>IF(E72=0,0,IF(E72&lt;4,'C&amp;B'!$E$316+(E72*'C&amp;B'!$E$317),E72*'C&amp;B'!$E$318))</f>
        <v>#VALUE!</v>
      </c>
      <c r="Y72" s="82">
        <f>IF(F72=0,0,IF(F72&lt;4,'C&amp;B'!$E$316+(F72*'C&amp;B'!$E$317),F72*'C&amp;B'!$E$318))</f>
        <v>2689.4042429814144</v>
      </c>
      <c r="Z72" s="82" t="e">
        <f>IF(G72=0,0,IF(G72&lt;4,'C&amp;B'!$E$316+(G72*'C&amp;B'!$E$317),G72*'C&amp;B'!$E$318))</f>
        <v>#VALUE!</v>
      </c>
      <c r="AA72" s="82">
        <f>IF(H72=0,0,IF(H72&lt;4,'C&amp;B'!$E$316+(H72*'C&amp;B'!$E$317),H72*'C&amp;B'!$E$318))</f>
        <v>2881.38838654133</v>
      </c>
      <c r="AB72" s="82" t="e">
        <f>IF(I72=0,0,IF(I72&lt;4,'C&amp;B'!$E$316+(I72*'C&amp;B'!$E$317),I72*'C&amp;B'!$E$318))</f>
        <v>#VALUE!</v>
      </c>
      <c r="AC72" s="82">
        <f>IF(J72=0,0,IF(J72&lt;4,'C&amp;B'!$E$316+(J72*'C&amp;B'!$E$317),J72*'C&amp;B'!$E$318))</f>
        <v>2869.9122832120829</v>
      </c>
      <c r="AD72" s="82" t="e">
        <f>IF(K72=0,0,IF(K72&lt;4,'C&amp;B'!$E$316+(K72*'C&amp;B'!$E$317),K72*'C&amp;B'!$E$318))</f>
        <v>#VALUE!</v>
      </c>
      <c r="AE72" s="82">
        <f>IF(L72=0,0,IF(L72&lt;4,'C&amp;B'!$E$316+(L72*'C&amp;B'!$E$317),L72*'C&amp;B'!$E$318))</f>
        <v>2881.38838654133</v>
      </c>
      <c r="AF72" s="82" t="e">
        <f>IF(M72=0,0,IF(M72&lt;4,'C&amp;B'!$E$316+(M72*'C&amp;B'!$E$317),M72*'C&amp;B'!$E$318))</f>
        <v>#VALUE!</v>
      </c>
      <c r="AG72" s="82">
        <f>IF(N72=0,0,IF(N72&lt;4,'C&amp;B'!$E$316+(N72*'C&amp;B'!$E$317),N72*'C&amp;B'!$E$318))</f>
        <v>2660.7781649661993</v>
      </c>
      <c r="AH72" s="82" t="e">
        <f>IF(O72=0,0,IF(O72&lt;4,'C&amp;B'!$E$316+(O72*'C&amp;B'!$E$317),O72*'C&amp;B'!$E$318))</f>
        <v>#VALUE!</v>
      </c>
      <c r="AI72" s="82">
        <f>IF(P72=0,0,IF(P72&lt;4,'C&amp;B'!$E$316+(P72*'C&amp;B'!$E$317),P72*'C&amp;B'!$E$318))</f>
        <v>2832.0016353328169</v>
      </c>
      <c r="AJ72" s="82" t="e">
        <f>IF(Q72=0,0,IF(Q72&lt;4,'C&amp;B'!$E$316+(Q72*'C&amp;B'!$E$317),Q72*'C&amp;B'!$E$318))</f>
        <v>#VALUE!</v>
      </c>
      <c r="AK72" s="82">
        <f>IF(R72=0,0,IF(R72&lt;4,'C&amp;B'!$E$316+(R72*'C&amp;B'!$E$317),R72*'C&amp;B'!$E$318))</f>
        <v>2759.5505452167313</v>
      </c>
      <c r="AL72" s="82">
        <f>IF(S72=0,0,IF(S72&lt;4,'C&amp;B'!$E$316+(S72*'C&amp;B'!$E$317),S72*'C&amp;B'!$E$318))</f>
        <v>2579.3326209880734</v>
      </c>
      <c r="AM72" s="82">
        <f>IF(T72=0,0,IF(T72&lt;4,'C&amp;B'!$E$316+(T72*'C&amp;B'!$E$317),T72*'C&amp;B'!$E$318))</f>
        <v>2776.214942012029</v>
      </c>
      <c r="AO72" s="130" t="s">
        <v>615</v>
      </c>
      <c r="AP72" s="82" t="e">
        <f t="shared" si="30"/>
        <v>#VALUE!</v>
      </c>
      <c r="AQ72" s="82" t="e">
        <f t="shared" si="29"/>
        <v>#VALUE!</v>
      </c>
      <c r="AR72" s="82">
        <f t="shared" si="29"/>
        <v>28227.404242981414</v>
      </c>
      <c r="AS72" s="82" t="e">
        <f t="shared" si="29"/>
        <v>#VALUE!</v>
      </c>
      <c r="AT72" s="82">
        <f t="shared" si="29"/>
        <v>28209.38838654133</v>
      </c>
      <c r="AU72" s="82" t="e">
        <f t="shared" si="29"/>
        <v>#VALUE!</v>
      </c>
      <c r="AV72" s="82">
        <f t="shared" si="29"/>
        <v>29552.912283212085</v>
      </c>
      <c r="AW72" s="82" t="e">
        <f t="shared" si="29"/>
        <v>#VALUE!</v>
      </c>
      <c r="AX72" s="82">
        <f t="shared" si="29"/>
        <v>28209.38838654133</v>
      </c>
      <c r="AY72" s="82" t="e">
        <f t="shared" si="29"/>
        <v>#VALUE!</v>
      </c>
      <c r="AZ72" s="82">
        <f t="shared" si="29"/>
        <v>28616.778164966199</v>
      </c>
      <c r="BA72" s="82" t="e">
        <f t="shared" si="29"/>
        <v>#VALUE!</v>
      </c>
      <c r="BB72" s="82">
        <f t="shared" si="29"/>
        <v>29515.001635332817</v>
      </c>
      <c r="BC72" s="82" t="e">
        <f t="shared" si="29"/>
        <v>#VALUE!</v>
      </c>
      <c r="BD72" s="82">
        <f t="shared" si="29"/>
        <v>29768.550545216731</v>
      </c>
      <c r="BE72" s="82">
        <f t="shared" si="29"/>
        <v>29061.332620988072</v>
      </c>
      <c r="BF72" s="82">
        <f t="shared" si="29"/>
        <v>28050.214942012029</v>
      </c>
    </row>
    <row r="73" spans="2:60">
      <c r="B73" s="71"/>
    </row>
    <row r="74" spans="2:60">
      <c r="B74" s="1" t="s">
        <v>714</v>
      </c>
      <c r="AO74" s="11" t="s">
        <v>716</v>
      </c>
    </row>
    <row r="75" spans="2:60" ht="72">
      <c r="B75" s="56" t="s">
        <v>294</v>
      </c>
      <c r="C75" s="57" t="s">
        <v>336</v>
      </c>
      <c r="D75" s="58" t="s">
        <v>343</v>
      </c>
      <c r="E75" s="58" t="s">
        <v>372</v>
      </c>
      <c r="F75" s="58" t="s">
        <v>359</v>
      </c>
      <c r="G75" s="58" t="s">
        <v>360</v>
      </c>
      <c r="H75" s="58" t="s">
        <v>361</v>
      </c>
      <c r="I75" s="58" t="s">
        <v>362</v>
      </c>
      <c r="J75" s="58" t="s">
        <v>363</v>
      </c>
      <c r="K75" s="58" t="s">
        <v>364</v>
      </c>
      <c r="L75" s="58" t="s">
        <v>351</v>
      </c>
      <c r="M75" s="58" t="s">
        <v>791</v>
      </c>
      <c r="AO75" s="144" t="s">
        <v>16</v>
      </c>
      <c r="AP75" s="117" t="s">
        <v>343</v>
      </c>
      <c r="AQ75" s="117" t="s">
        <v>435</v>
      </c>
      <c r="AR75" s="117" t="s">
        <v>436</v>
      </c>
      <c r="AS75" s="117" t="s">
        <v>437</v>
      </c>
      <c r="AT75" s="117" t="s">
        <v>438</v>
      </c>
      <c r="AU75" s="117" t="s">
        <v>439</v>
      </c>
      <c r="AV75" s="117" t="s">
        <v>440</v>
      </c>
      <c r="AW75" s="117" t="s">
        <v>441</v>
      </c>
      <c r="AX75" s="117" t="s">
        <v>442</v>
      </c>
      <c r="AY75" s="117" t="s">
        <v>443</v>
      </c>
      <c r="AZ75" s="117" t="s">
        <v>444</v>
      </c>
      <c r="BA75" s="117" t="s">
        <v>445</v>
      </c>
      <c r="BB75" s="117" t="s">
        <v>446</v>
      </c>
      <c r="BC75" s="117" t="s">
        <v>447</v>
      </c>
      <c r="BD75" s="117" t="s">
        <v>677</v>
      </c>
      <c r="BE75" s="117" t="s">
        <v>351</v>
      </c>
      <c r="BF75" s="117" t="s">
        <v>791</v>
      </c>
    </row>
    <row r="76" spans="2:60">
      <c r="B76" s="59" t="s">
        <v>310</v>
      </c>
      <c r="C76" s="129" t="s">
        <v>24</v>
      </c>
      <c r="D76" s="73">
        <f>D8*'C&amp;B'!$H$12/'C&amp;B'!$H$18</f>
        <v>4.5564999999999998</v>
      </c>
      <c r="E76" s="73">
        <f>E8*'C&amp;B'!$H$12/'C&amp;B'!$H$18</f>
        <v>4.5564999999999998</v>
      </c>
      <c r="F76" s="73">
        <f>G8*'C&amp;B'!$H$12/'C&amp;B'!$H$18</f>
        <v>5.2574999999999994</v>
      </c>
      <c r="G76" s="73">
        <f>I8*'C&amp;B'!$H$12/'C&amp;B'!$H$18</f>
        <v>5.2574999999999994</v>
      </c>
      <c r="H76" s="73">
        <f>K8*'C&amp;B'!$H$12/'C&amp;B'!$H$18</f>
        <v>5.2574999999999994</v>
      </c>
      <c r="I76" s="73">
        <f>M8*'C&amp;B'!$H$12/'C&amp;B'!$H$18</f>
        <v>3.8554999999999997</v>
      </c>
      <c r="J76" s="73">
        <f>O8*'C&amp;B'!$H$12/'C&amp;B'!$H$18</f>
        <v>5.2574999999999994</v>
      </c>
      <c r="K76" s="73">
        <f>Q8*'C&amp;B'!$H$12/'C&amp;B'!$H$18</f>
        <v>3.8554999999999997</v>
      </c>
      <c r="L76" s="73">
        <f>S8*'C&amp;B'!$H$12/'C&amp;B'!$H$18</f>
        <v>3.8554999999999997</v>
      </c>
      <c r="M76" s="73">
        <f>T8*'C&amp;B'!$H$12/'C&amp;B'!$H$18</f>
        <v>4.5564999999999998</v>
      </c>
      <c r="AO76" s="133" t="s">
        <v>667</v>
      </c>
      <c r="AP76" s="132"/>
      <c r="AQ76" s="132"/>
      <c r="AR76" s="132"/>
      <c r="AS76" s="132"/>
      <c r="AT76" s="132"/>
      <c r="AU76" s="132"/>
      <c r="AV76" s="132"/>
      <c r="AW76" s="132"/>
      <c r="AX76" s="132"/>
      <c r="AY76" s="132"/>
      <c r="AZ76" s="132"/>
      <c r="BA76" s="132"/>
      <c r="BB76" s="132"/>
      <c r="BC76" s="132"/>
      <c r="BD76" s="132"/>
      <c r="BE76" s="132"/>
      <c r="BF76" s="132"/>
    </row>
    <row r="77" spans="2:60">
      <c r="B77" s="59" t="s">
        <v>311</v>
      </c>
      <c r="C77" s="129" t="s">
        <v>24</v>
      </c>
      <c r="D77" s="73">
        <f>SUMPRODUCT(D6:D7,'C&amp;B'!$H$8:$H$9)</f>
        <v>9.9749999999999996</v>
      </c>
      <c r="E77" s="73">
        <f>SUMPRODUCT(E6:E7,'C&amp;B'!$H$8:$H$9)</f>
        <v>9.0069999999999997</v>
      </c>
      <c r="F77" s="73">
        <f>SUMPRODUCT(G6:G7,'C&amp;B'!$H$8:$H$9)</f>
        <v>9.9749999999999996</v>
      </c>
      <c r="G77" s="73">
        <f>SUMPRODUCT(I6:I7,'C&amp;B'!$H$8:$H$9)</f>
        <v>9.9749999999999996</v>
      </c>
      <c r="H77" s="73">
        <f>SUMPRODUCT(K6:K7,'C&amp;B'!$H$8:$H$9)</f>
        <v>9.9749999999999996</v>
      </c>
      <c r="I77" s="73">
        <f>SUMPRODUCT(M6:M7,'C&amp;B'!$H$8:$H$9)</f>
        <v>7.91</v>
      </c>
      <c r="J77" s="73">
        <f>SUMPRODUCT(O6:O7,'C&amp;B'!$H$8:$H$9)</f>
        <v>9.9749999999999996</v>
      </c>
      <c r="K77" s="73">
        <f>SUMPRODUCT(Q6:Q7,'C&amp;B'!$H$8:$H$9)</f>
        <v>9.6119999999999983</v>
      </c>
      <c r="L77" s="73">
        <f>SUMPRODUCT(S6:S7,'C&amp;B'!$H$8:$H$9)</f>
        <v>8.3729999999999993</v>
      </c>
      <c r="M77" s="73">
        <f>SUMPRODUCT(T6:T7,'C&amp;B'!$H$8:$H$9)</f>
        <v>9.9749999999999996</v>
      </c>
      <c r="AO77" s="130" t="s">
        <v>609</v>
      </c>
      <c r="AP77" s="82">
        <f>AP58-$AP$58</f>
        <v>0</v>
      </c>
      <c r="AQ77" s="82">
        <f t="shared" ref="AQ77:BF77" si="31">AQ58-$AP$58</f>
        <v>-364.52300119130086</v>
      </c>
      <c r="AR77" s="82">
        <f t="shared" si="31"/>
        <v>-8368.923076923078</v>
      </c>
      <c r="AS77" s="82" t="e">
        <f t="shared" si="31"/>
        <v>#VALUE!</v>
      </c>
      <c r="AT77" s="82">
        <f t="shared" si="31"/>
        <v>-8578.923076923078</v>
      </c>
      <c r="AU77" s="82">
        <f t="shared" si="31"/>
        <v>81.019278768420918</v>
      </c>
      <c r="AV77" s="82">
        <f t="shared" si="31"/>
        <v>-7223.923076923078</v>
      </c>
      <c r="AW77" s="82" t="e">
        <f t="shared" si="31"/>
        <v>#VALUE!</v>
      </c>
      <c r="AX77" s="82">
        <f t="shared" si="31"/>
        <v>-8578.923076923078</v>
      </c>
      <c r="AY77" s="82">
        <f t="shared" si="31"/>
        <v>-135.64277223764657</v>
      </c>
      <c r="AZ77" s="82">
        <f t="shared" si="31"/>
        <v>-7950.923076923078</v>
      </c>
      <c r="BA77" s="82">
        <f t="shared" si="31"/>
        <v>-141.36161661275401</v>
      </c>
      <c r="BB77" s="82">
        <f t="shared" si="31"/>
        <v>-7223.923076923078</v>
      </c>
      <c r="BC77" s="82">
        <f t="shared" si="31"/>
        <v>-240.35404466800537</v>
      </c>
      <c r="BD77" s="82">
        <f t="shared" si="31"/>
        <v>-6897.923076923078</v>
      </c>
      <c r="BE77" s="82">
        <f t="shared" si="31"/>
        <v>-7424.923076923078</v>
      </c>
      <c r="BF77" s="82">
        <f t="shared" si="31"/>
        <v>-8632.923076923078</v>
      </c>
    </row>
    <row r="78" spans="2:60">
      <c r="B78" s="59" t="s">
        <v>312</v>
      </c>
      <c r="C78" s="129" t="s">
        <v>24</v>
      </c>
      <c r="D78" s="73">
        <f>SUMPRODUCT(D9:D10,'C&amp;B'!$J$10:$J$11)/'C&amp;B'!$H$18</f>
        <v>3.8554999999999997</v>
      </c>
      <c r="E78" s="73">
        <f>SUMPRODUCT(E9:E10,'C&amp;B'!$J$10:$J$11)/'C&amp;B'!$H$18</f>
        <v>4.5564999999999998</v>
      </c>
      <c r="F78" s="73">
        <f>SUMPRODUCT(G9:G10,'C&amp;B'!$J$10:$J$11)/'C&amp;B'!$H$18</f>
        <v>3.8554999999999997</v>
      </c>
      <c r="G78" s="73">
        <f>SUMPRODUCT(I9:I10,'C&amp;B'!$J$10:$J$11)/'C&amp;B'!$H$18</f>
        <v>3.8554999999999997</v>
      </c>
      <c r="H78" s="73">
        <f>SUMPRODUCT(K9:K10,'C&amp;B'!$J$10:$J$11)/'C&amp;B'!$H$18</f>
        <v>3.8554999999999997</v>
      </c>
      <c r="I78" s="73">
        <f>SUMPRODUCT(M9:M10,'C&amp;B'!$J$10:$J$11)/'C&amp;B'!$H$18</f>
        <v>3.8554999999999997</v>
      </c>
      <c r="J78" s="73">
        <f>SUMPRODUCT(O9:O10,'C&amp;B'!$J$10:$J$11)/'C&amp;B'!$H$18</f>
        <v>3.8554999999999997</v>
      </c>
      <c r="K78" s="73">
        <f>SUMPRODUCT(Q9:Q10,'C&amp;B'!$J$10:$J$11)/'C&amp;B'!$H$18</f>
        <v>3.8554999999999997</v>
      </c>
      <c r="L78" s="73">
        <f>SUMPRODUCT(S9:S10,'C&amp;B'!$J$10:$J$11)/'C&amp;B'!$H$18</f>
        <v>3.8554999999999997</v>
      </c>
      <c r="M78" s="73">
        <f>SUMPRODUCT(T9:T10,'C&amp;B'!$J$10:$J$11)/'C&amp;B'!$H$18</f>
        <v>4.5564999999999998</v>
      </c>
      <c r="AO78" s="130" t="s">
        <v>610</v>
      </c>
      <c r="AP78" s="82">
        <f t="shared" ref="AP78:BF83" si="32">AP59-$AP$58</f>
        <v>147.6714847455296</v>
      </c>
      <c r="AQ78" s="82">
        <f t="shared" si="32"/>
        <v>79.384880003337457</v>
      </c>
      <c r="AR78" s="82">
        <f t="shared" si="32"/>
        <v>-8368.923076923078</v>
      </c>
      <c r="AS78" s="82" t="e">
        <f t="shared" si="32"/>
        <v>#VALUE!</v>
      </c>
      <c r="AT78" s="82">
        <f t="shared" si="32"/>
        <v>-8578.923076923078</v>
      </c>
      <c r="AU78" s="82">
        <f t="shared" si="32"/>
        <v>524.92715996305924</v>
      </c>
      <c r="AV78" s="82">
        <f t="shared" si="32"/>
        <v>-7223.923076923078</v>
      </c>
      <c r="AW78" s="82" t="e">
        <f t="shared" si="32"/>
        <v>#VALUE!</v>
      </c>
      <c r="AX78" s="82">
        <f t="shared" si="32"/>
        <v>-8578.923076923078</v>
      </c>
      <c r="AY78" s="82">
        <f t="shared" si="32"/>
        <v>308.26510895699903</v>
      </c>
      <c r="AZ78" s="82">
        <f t="shared" si="32"/>
        <v>-7950.923076923078</v>
      </c>
      <c r="BA78" s="82">
        <f t="shared" si="32"/>
        <v>302.54626458189159</v>
      </c>
      <c r="BB78" s="82">
        <f t="shared" si="32"/>
        <v>-7223.923076923078</v>
      </c>
      <c r="BC78" s="82">
        <f t="shared" si="32"/>
        <v>203.55383652664023</v>
      </c>
      <c r="BD78" s="82">
        <f t="shared" si="32"/>
        <v>-6897.923076923078</v>
      </c>
      <c r="BE78" s="82">
        <f t="shared" si="32"/>
        <v>-7424.923076923078</v>
      </c>
      <c r="BF78" s="82">
        <f t="shared" si="32"/>
        <v>-8632.923076923078</v>
      </c>
    </row>
    <row r="79" spans="2:60">
      <c r="B79" s="59" t="s">
        <v>224</v>
      </c>
      <c r="C79" s="129" t="s">
        <v>24</v>
      </c>
      <c r="D79" s="73">
        <f>D12*'C&amp;B'!$H$14</f>
        <v>16.559999999999999</v>
      </c>
      <c r="E79" s="73">
        <f>E12*'C&amp;B'!$H$14</f>
        <v>19.32</v>
      </c>
      <c r="F79" s="73">
        <f>G12*'C&amp;B'!$H$14</f>
        <v>16.559999999999999</v>
      </c>
      <c r="G79" s="73">
        <f>I12*'C&amp;B'!$H$14</f>
        <v>16.559999999999999</v>
      </c>
      <c r="H79" s="73">
        <f>K12*'C&amp;B'!$H$14</f>
        <v>16.559999999999999</v>
      </c>
      <c r="I79" s="73">
        <f>M12*'C&amp;B'!$H$14</f>
        <v>16.559999999999999</v>
      </c>
      <c r="J79" s="73">
        <f>O12*'C&amp;B'!$H$14</f>
        <v>16.559999999999999</v>
      </c>
      <c r="K79" s="73">
        <f>Q12*'C&amp;B'!$H$14</f>
        <v>16.559999999999999</v>
      </c>
      <c r="L79" s="73">
        <f>S12*'C&amp;B'!$H$14</f>
        <v>11.040000000000001</v>
      </c>
      <c r="M79" s="73">
        <f>T12*'C&amp;B'!$H$14</f>
        <v>19.32</v>
      </c>
      <c r="AO79" s="130" t="s">
        <v>611</v>
      </c>
      <c r="AP79" s="82">
        <f t="shared" si="32"/>
        <v>591.57936594016792</v>
      </c>
      <c r="AQ79" s="82" t="e">
        <f t="shared" si="32"/>
        <v>#VALUE!</v>
      </c>
      <c r="AR79" s="82">
        <f t="shared" si="32"/>
        <v>-8368.923076923078</v>
      </c>
      <c r="AS79" s="82" t="e">
        <f t="shared" si="32"/>
        <v>#VALUE!</v>
      </c>
      <c r="AT79" s="82">
        <f t="shared" si="32"/>
        <v>-8578.923076923078</v>
      </c>
      <c r="AU79" s="82">
        <f t="shared" si="32"/>
        <v>968.83504115770484</v>
      </c>
      <c r="AV79" s="82">
        <f t="shared" si="32"/>
        <v>-7223.923076923078</v>
      </c>
      <c r="AW79" s="82" t="e">
        <f t="shared" si="32"/>
        <v>#VALUE!</v>
      </c>
      <c r="AX79" s="82">
        <f t="shared" si="32"/>
        <v>-8578.923076923078</v>
      </c>
      <c r="AY79" s="82">
        <f t="shared" si="32"/>
        <v>1682.2530460472408</v>
      </c>
      <c r="AZ79" s="82">
        <f t="shared" si="32"/>
        <v>-7950.923076923078</v>
      </c>
      <c r="BA79" s="82">
        <f t="shared" si="32"/>
        <v>746.45414577653719</v>
      </c>
      <c r="BB79" s="82">
        <f t="shared" si="32"/>
        <v>-7223.923076923078</v>
      </c>
      <c r="BC79" s="82">
        <f t="shared" si="32"/>
        <v>647.46171772128582</v>
      </c>
      <c r="BD79" s="82">
        <f t="shared" si="32"/>
        <v>-6897.923076923078</v>
      </c>
      <c r="BE79" s="82">
        <f t="shared" si="32"/>
        <v>-7424.923076923078</v>
      </c>
      <c r="BF79" s="82">
        <f t="shared" si="32"/>
        <v>-8632.923076923078</v>
      </c>
    </row>
    <row r="80" spans="2:60">
      <c r="B80" s="59" t="s">
        <v>223</v>
      </c>
      <c r="C80" s="129" t="s">
        <v>24</v>
      </c>
      <c r="D80" s="73">
        <f>D11*'C&amp;B'!$H$15</f>
        <v>2.1</v>
      </c>
      <c r="E80" s="73">
        <f>E11*'C&amp;B'!$H$15</f>
        <v>2.1</v>
      </c>
      <c r="F80" s="73">
        <f>G11*'C&amp;B'!$H$15</f>
        <v>2.94</v>
      </c>
      <c r="G80" s="73">
        <f>I11*'C&amp;B'!$H$15</f>
        <v>2.94</v>
      </c>
      <c r="H80" s="73">
        <f>K11*'C&amp;B'!$H$15</f>
        <v>2.94</v>
      </c>
      <c r="I80" s="73">
        <f>M11*'C&amp;B'!$H$15</f>
        <v>2.1</v>
      </c>
      <c r="J80" s="73">
        <f>O11*'C&amp;B'!$H$15</f>
        <v>2.94</v>
      </c>
      <c r="K80" s="73">
        <f>Q11*'C&amp;B'!$H$15</f>
        <v>2.94</v>
      </c>
      <c r="L80" s="73">
        <f>S11*'C&amp;B'!$H$15</f>
        <v>2.1</v>
      </c>
      <c r="M80" s="73">
        <f>T11*'C&amp;B'!$H$15</f>
        <v>2.1</v>
      </c>
      <c r="AO80" s="130" t="s">
        <v>612</v>
      </c>
      <c r="AP80" s="82" t="e">
        <f t="shared" si="32"/>
        <v>#VALUE!</v>
      </c>
      <c r="AQ80" s="82" t="e">
        <f t="shared" si="32"/>
        <v>#VALUE!</v>
      </c>
      <c r="AR80" s="82">
        <f t="shared" si="32"/>
        <v>-8368.923076923078</v>
      </c>
      <c r="AS80" s="82" t="e">
        <f t="shared" si="32"/>
        <v>#VALUE!</v>
      </c>
      <c r="AT80" s="82">
        <f t="shared" si="32"/>
        <v>-8578.923076923078</v>
      </c>
      <c r="AU80" s="82">
        <f t="shared" si="32"/>
        <v>1412.7429223523504</v>
      </c>
      <c r="AV80" s="82">
        <f t="shared" si="32"/>
        <v>-7223.923076923078</v>
      </c>
      <c r="AW80" s="82" t="e">
        <f t="shared" si="32"/>
        <v>#VALUE!</v>
      </c>
      <c r="AX80" s="82">
        <f t="shared" si="32"/>
        <v>-8578.923076923078</v>
      </c>
      <c r="AY80" s="82" t="e">
        <f t="shared" si="32"/>
        <v>#VALUE!</v>
      </c>
      <c r="AZ80" s="82">
        <f t="shared" si="32"/>
        <v>-7950.923076923078</v>
      </c>
      <c r="BA80" s="82">
        <f t="shared" si="32"/>
        <v>1190.3620269711828</v>
      </c>
      <c r="BB80" s="82">
        <f t="shared" si="32"/>
        <v>-7223.923076923078</v>
      </c>
      <c r="BC80" s="82">
        <f t="shared" si="32"/>
        <v>1091.3695989159314</v>
      </c>
      <c r="BD80" s="82">
        <f t="shared" si="32"/>
        <v>-6897.923076923078</v>
      </c>
      <c r="BE80" s="82">
        <f t="shared" si="32"/>
        <v>-7424.923076923078</v>
      </c>
      <c r="BF80" s="82">
        <f t="shared" si="32"/>
        <v>-8632.923076923078</v>
      </c>
    </row>
    <row r="81" spans="2:58">
      <c r="B81" s="59" t="s">
        <v>313</v>
      </c>
      <c r="C81" s="129" t="s">
        <v>24</v>
      </c>
      <c r="D81" s="73">
        <f>D15*'C&amp;B'!$H$20</f>
        <v>6.9700000000000006</v>
      </c>
      <c r="E81" s="73">
        <f>E15*'C&amp;B'!$H$20</f>
        <v>6.9700000000000006</v>
      </c>
      <c r="F81" s="73">
        <f>G15*'C&amp;B'!$H$20</f>
        <v>13.940000000000001</v>
      </c>
      <c r="G81" s="73">
        <f>I15*'C&amp;B'!$H$20</f>
        <v>13.940000000000001</v>
      </c>
      <c r="H81" s="73">
        <f>K15*'C&amp;B'!$H$20</f>
        <v>13.940000000000001</v>
      </c>
      <c r="I81" s="73">
        <f>M15*'C&amp;B'!$H$20</f>
        <v>9.7580000000000009</v>
      </c>
      <c r="J81" s="73">
        <f>O15*'C&amp;B'!$H$20</f>
        <v>13.940000000000001</v>
      </c>
      <c r="K81" s="73">
        <f>Q15*'C&amp;B'!$H$20</f>
        <v>13.940000000000001</v>
      </c>
      <c r="L81" s="73">
        <f>S15*'C&amp;B'!$H$20</f>
        <v>6.9700000000000006</v>
      </c>
      <c r="M81" s="73">
        <f>T15*'C&amp;B'!$H$20</f>
        <v>6.9700000000000006</v>
      </c>
      <c r="AO81" s="130" t="s">
        <v>613</v>
      </c>
      <c r="AP81" s="82" t="e">
        <f t="shared" si="32"/>
        <v>#VALUE!</v>
      </c>
      <c r="AQ81" s="82" t="e">
        <f t="shared" si="32"/>
        <v>#VALUE!</v>
      </c>
      <c r="AR81" s="82">
        <f t="shared" si="32"/>
        <v>-8368.923076923078</v>
      </c>
      <c r="AS81" s="82" t="e">
        <f t="shared" si="32"/>
        <v>#VALUE!</v>
      </c>
      <c r="AT81" s="82">
        <f t="shared" si="32"/>
        <v>-8578.923076923078</v>
      </c>
      <c r="AU81" s="82" t="e">
        <f t="shared" si="32"/>
        <v>#VALUE!</v>
      </c>
      <c r="AV81" s="82">
        <f t="shared" si="32"/>
        <v>-7223.923076923078</v>
      </c>
      <c r="AW81" s="82" t="e">
        <f t="shared" si="32"/>
        <v>#VALUE!</v>
      </c>
      <c r="AX81" s="82">
        <f t="shared" si="32"/>
        <v>-8578.923076923078</v>
      </c>
      <c r="AY81" s="82" t="e">
        <f t="shared" si="32"/>
        <v>#VALUE!</v>
      </c>
      <c r="AZ81" s="82">
        <f t="shared" si="32"/>
        <v>-7950.923076923078</v>
      </c>
      <c r="BA81" s="82" t="e">
        <f t="shared" si="32"/>
        <v>#VALUE!</v>
      </c>
      <c r="BB81" s="82">
        <f t="shared" si="32"/>
        <v>-7223.923076923078</v>
      </c>
      <c r="BC81" s="82">
        <f t="shared" si="32"/>
        <v>1535.277480110577</v>
      </c>
      <c r="BD81" s="82">
        <f t="shared" si="32"/>
        <v>-6897.923076923078</v>
      </c>
      <c r="BE81" s="82">
        <f t="shared" si="32"/>
        <v>-7424.923076923078</v>
      </c>
      <c r="BF81" s="82">
        <f t="shared" si="32"/>
        <v>-8632.923076923078</v>
      </c>
    </row>
    <row r="82" spans="2:58">
      <c r="B82" s="59" t="s">
        <v>314</v>
      </c>
      <c r="C82" s="129" t="s">
        <v>24</v>
      </c>
      <c r="D82" s="73">
        <f>1/3*0.5*'C&amp;B'!$H$19*(1-'2BedFlat'!D13)</f>
        <v>28.039999999999996</v>
      </c>
      <c r="E82" s="73">
        <f>1/3*0.5*'C&amp;B'!$H$19*(1-'2BedFlat'!E13)</f>
        <v>28.039999999999996</v>
      </c>
      <c r="F82" s="73">
        <f>1/3*0.5*'C&amp;B'!$H$19*(1-'2BedFlat'!G13)</f>
        <v>28.039999999999996</v>
      </c>
      <c r="G82" s="73">
        <f>1/3*0.5*'C&amp;B'!$H$19*(1-'2BedFlat'!I13)</f>
        <v>7.0099999999999989</v>
      </c>
      <c r="H82" s="73">
        <f>1/3*0.5*'C&amp;B'!$H$19*(1-'2BedFlat'!K13)</f>
        <v>28.039999999999996</v>
      </c>
      <c r="I82" s="73">
        <f>1/3*0.5*'C&amp;B'!$H$19*(1-'2BedFlat'!M13)</f>
        <v>28.039999999999996</v>
      </c>
      <c r="J82" s="73">
        <f>1/3*0.5*'C&amp;B'!$H$19*(1-'2BedFlat'!O13)</f>
        <v>7.0099999999999989</v>
      </c>
      <c r="K82" s="73">
        <f>1/3*0.5*'C&amp;B'!$H$19*(1-'2BedFlat'!Q13)</f>
        <v>7.0099999999999989</v>
      </c>
      <c r="L82" s="73">
        <f>1/3*0.5*'C&amp;B'!$H$19*(1-'2BedFlat'!S13)</f>
        <v>28.039999999999996</v>
      </c>
      <c r="M82" s="73">
        <f>1/3*0.5*'C&amp;B'!$H$19*(1-'2BedFlat'!T13)</f>
        <v>28.039999999999996</v>
      </c>
      <c r="AO82" s="130" t="s">
        <v>614</v>
      </c>
      <c r="AP82" s="82" t="e">
        <f t="shared" si="32"/>
        <v>#VALUE!</v>
      </c>
      <c r="AQ82" s="82" t="e">
        <f t="shared" si="32"/>
        <v>#VALUE!</v>
      </c>
      <c r="AR82" s="82">
        <f t="shared" si="32"/>
        <v>-8368.923076923078</v>
      </c>
      <c r="AS82" s="82" t="e">
        <f t="shared" si="32"/>
        <v>#VALUE!</v>
      </c>
      <c r="AT82" s="82">
        <f t="shared" si="32"/>
        <v>-8578.923076923078</v>
      </c>
      <c r="AU82" s="82" t="e">
        <f t="shared" si="32"/>
        <v>#VALUE!</v>
      </c>
      <c r="AV82" s="82">
        <f t="shared" si="32"/>
        <v>-7223.923076923078</v>
      </c>
      <c r="AW82" s="82" t="e">
        <f t="shared" si="32"/>
        <v>#VALUE!</v>
      </c>
      <c r="AX82" s="82">
        <f t="shared" si="32"/>
        <v>-8578.923076923078</v>
      </c>
      <c r="AY82" s="82" t="e">
        <f t="shared" si="32"/>
        <v>#VALUE!</v>
      </c>
      <c r="AZ82" s="82">
        <f t="shared" si="32"/>
        <v>-7950.923076923078</v>
      </c>
      <c r="BA82" s="82" t="e">
        <f t="shared" si="32"/>
        <v>#VALUE!</v>
      </c>
      <c r="BB82" s="82">
        <f t="shared" si="32"/>
        <v>-7223.923076923078</v>
      </c>
      <c r="BC82" s="82" t="e">
        <f t="shared" si="32"/>
        <v>#VALUE!</v>
      </c>
      <c r="BD82" s="82">
        <f t="shared" si="32"/>
        <v>-6897.923076923078</v>
      </c>
      <c r="BE82" s="82">
        <f t="shared" si="32"/>
        <v>-7424.923076923078</v>
      </c>
      <c r="BF82" s="82">
        <f t="shared" si="32"/>
        <v>-8632.923076923078</v>
      </c>
    </row>
    <row r="83" spans="2:58">
      <c r="B83" s="59" t="s">
        <v>315</v>
      </c>
      <c r="C83" s="129" t="s">
        <v>24</v>
      </c>
      <c r="D83" s="73">
        <f>1/3*(D14/20)*'C&amp;B'!$H$19</f>
        <v>14.019999999999998</v>
      </c>
      <c r="E83" s="73">
        <f>1/3*(E14/20)*'C&amp;B'!$H$19</f>
        <v>14.019999999999998</v>
      </c>
      <c r="F83" s="73">
        <f>1/3*(G14/20)*'C&amp;B'!$H$19</f>
        <v>14.019999999999998</v>
      </c>
      <c r="G83" s="73">
        <f>1/3*(I14/20)*'C&amp;B'!$H$19</f>
        <v>14.019999999999998</v>
      </c>
      <c r="H83" s="73">
        <f>1/3*(K14/20)*'C&amp;B'!$H$19</f>
        <v>14.019999999999998</v>
      </c>
      <c r="I83" s="73">
        <f>1/3*(M14/20)*'C&amp;B'!$H$19</f>
        <v>11.215999999999999</v>
      </c>
      <c r="J83" s="73">
        <f>1/3*(O14/20)*'C&amp;B'!$H$19</f>
        <v>14.019999999999998</v>
      </c>
      <c r="K83" s="73">
        <f>1/3*(Q14/20)*'C&amp;B'!$H$19</f>
        <v>8.411999999999999</v>
      </c>
      <c r="L83" s="73">
        <f>1/3*(S14/20)*'C&amp;B'!$H$19</f>
        <v>14.019999999999998</v>
      </c>
      <c r="M83" s="73">
        <f>1/3*(T14/20)*'C&amp;B'!$H$19</f>
        <v>14.019999999999998</v>
      </c>
      <c r="AO83" s="130" t="s">
        <v>615</v>
      </c>
      <c r="AP83" s="82" t="e">
        <f t="shared" si="32"/>
        <v>#VALUE!</v>
      </c>
      <c r="AQ83" s="82" t="e">
        <f t="shared" si="32"/>
        <v>#VALUE!</v>
      </c>
      <c r="AR83" s="82">
        <f t="shared" si="32"/>
        <v>-5679.5188339416636</v>
      </c>
      <c r="AS83" s="82" t="e">
        <f t="shared" si="32"/>
        <v>#VALUE!</v>
      </c>
      <c r="AT83" s="82">
        <f t="shared" si="32"/>
        <v>-5697.5346903817481</v>
      </c>
      <c r="AU83" s="82" t="e">
        <f t="shared" si="32"/>
        <v>#VALUE!</v>
      </c>
      <c r="AV83" s="82">
        <f t="shared" si="32"/>
        <v>-4354.0107937109933</v>
      </c>
      <c r="AW83" s="82" t="e">
        <f t="shared" si="32"/>
        <v>#VALUE!</v>
      </c>
      <c r="AX83" s="82">
        <f t="shared" si="32"/>
        <v>-5697.5346903817481</v>
      </c>
      <c r="AY83" s="82" t="e">
        <f t="shared" si="32"/>
        <v>#VALUE!</v>
      </c>
      <c r="AZ83" s="82">
        <f t="shared" si="32"/>
        <v>-5290.1449119568788</v>
      </c>
      <c r="BA83" s="82" t="e">
        <f t="shared" si="32"/>
        <v>#VALUE!</v>
      </c>
      <c r="BB83" s="82">
        <f t="shared" si="32"/>
        <v>-4391.9214415902607</v>
      </c>
      <c r="BC83" s="82" t="e">
        <f t="shared" si="32"/>
        <v>#VALUE!</v>
      </c>
      <c r="BD83" s="82">
        <f t="shared" si="32"/>
        <v>-4138.3725317063472</v>
      </c>
      <c r="BE83" s="82">
        <f t="shared" si="32"/>
        <v>-4845.5904559350056</v>
      </c>
      <c r="BF83" s="82">
        <f t="shared" si="32"/>
        <v>-5856.7081349110485</v>
      </c>
    </row>
    <row r="84" spans="2:58">
      <c r="B84" s="59" t="s">
        <v>316</v>
      </c>
      <c r="C84" s="129" t="s">
        <v>24</v>
      </c>
      <c r="D84" s="73">
        <f>SUM(D76:D81)</f>
        <v>44.017000000000003</v>
      </c>
      <c r="E84" s="73">
        <f t="shared" ref="E84:M84" si="33">SUM(E76:E81)</f>
        <v>46.51</v>
      </c>
      <c r="F84" s="73">
        <f t="shared" si="33"/>
        <v>52.527999999999992</v>
      </c>
      <c r="G84" s="73">
        <f t="shared" si="33"/>
        <v>52.527999999999992</v>
      </c>
      <c r="H84" s="73">
        <f t="shared" si="33"/>
        <v>52.527999999999992</v>
      </c>
      <c r="I84" s="73">
        <f t="shared" si="33"/>
        <v>44.039000000000001</v>
      </c>
      <c r="J84" s="73">
        <f t="shared" si="33"/>
        <v>52.527999999999992</v>
      </c>
      <c r="K84" s="73">
        <f t="shared" si="33"/>
        <v>50.762999999999991</v>
      </c>
      <c r="L84" s="73">
        <f t="shared" si="33"/>
        <v>36.194000000000003</v>
      </c>
      <c r="M84" s="73">
        <f t="shared" si="33"/>
        <v>47.478000000000002</v>
      </c>
      <c r="AO84" s="133" t="s">
        <v>668</v>
      </c>
      <c r="AP84" s="82"/>
      <c r="AQ84" s="82"/>
      <c r="AR84" s="82"/>
      <c r="AS84" s="82"/>
      <c r="AT84" s="82"/>
      <c r="AU84" s="82"/>
      <c r="AV84" s="82"/>
      <c r="AW84" s="82"/>
      <c r="AX84" s="82"/>
      <c r="AY84" s="82"/>
      <c r="AZ84" s="82"/>
      <c r="BA84" s="82"/>
      <c r="BB84" s="82"/>
      <c r="BC84" s="82"/>
      <c r="BD84" s="82"/>
      <c r="BE84" s="82"/>
      <c r="BF84" s="82"/>
    </row>
    <row r="85" spans="2:58">
      <c r="B85" s="59" t="s">
        <v>317</v>
      </c>
      <c r="C85" s="129" t="s">
        <v>24</v>
      </c>
      <c r="D85" s="73">
        <f>SUM(D82:D83)</f>
        <v>42.059999999999995</v>
      </c>
      <c r="E85" s="73">
        <f t="shared" ref="E85:M85" si="34">SUM(E82:E83)</f>
        <v>42.059999999999995</v>
      </c>
      <c r="F85" s="73">
        <f t="shared" si="34"/>
        <v>42.059999999999995</v>
      </c>
      <c r="G85" s="73">
        <f t="shared" si="34"/>
        <v>21.029999999999998</v>
      </c>
      <c r="H85" s="73">
        <f t="shared" si="34"/>
        <v>42.059999999999995</v>
      </c>
      <c r="I85" s="73">
        <f t="shared" si="34"/>
        <v>39.255999999999993</v>
      </c>
      <c r="J85" s="73">
        <f t="shared" si="34"/>
        <v>21.029999999999998</v>
      </c>
      <c r="K85" s="73">
        <f t="shared" si="34"/>
        <v>15.421999999999997</v>
      </c>
      <c r="L85" s="73">
        <f t="shared" si="34"/>
        <v>42.059999999999995</v>
      </c>
      <c r="M85" s="73">
        <f t="shared" si="34"/>
        <v>42.059999999999995</v>
      </c>
      <c r="AO85" s="130" t="s">
        <v>609</v>
      </c>
      <c r="AP85" s="82" t="e">
        <f>AP66-$BE$66</f>
        <v>#VALUE!</v>
      </c>
      <c r="AQ85" s="82" t="e">
        <f t="shared" ref="AQ85:BF85" si="35">AQ66-$BE$66</f>
        <v>#VALUE!</v>
      </c>
      <c r="AR85" s="82">
        <f t="shared" si="35"/>
        <v>183.10493100771055</v>
      </c>
      <c r="AS85" s="82" t="e">
        <f t="shared" si="35"/>
        <v>#VALUE!</v>
      </c>
      <c r="AT85" s="82">
        <f t="shared" si="35"/>
        <v>165.08907456762608</v>
      </c>
      <c r="AU85" s="82" t="e">
        <f t="shared" si="35"/>
        <v>#VALUE!</v>
      </c>
      <c r="AV85" s="82">
        <f t="shared" si="35"/>
        <v>1508.6129712383809</v>
      </c>
      <c r="AW85" s="82" t="e">
        <f t="shared" si="35"/>
        <v>#VALUE!</v>
      </c>
      <c r="AX85" s="82">
        <f t="shared" si="35"/>
        <v>165.08907456762608</v>
      </c>
      <c r="AY85" s="82" t="e">
        <f t="shared" si="35"/>
        <v>#VALUE!</v>
      </c>
      <c r="AZ85" s="82">
        <f t="shared" si="35"/>
        <v>-526</v>
      </c>
      <c r="BA85" s="82" t="e">
        <f t="shared" si="35"/>
        <v>#VALUE!</v>
      </c>
      <c r="BB85" s="82">
        <f t="shared" si="35"/>
        <v>1470.7023233591135</v>
      </c>
      <c r="BC85" s="82" t="e">
        <f t="shared" si="35"/>
        <v>#VALUE!</v>
      </c>
      <c r="BD85" s="82">
        <f t="shared" si="35"/>
        <v>1724.2512332430269</v>
      </c>
      <c r="BE85" s="82">
        <f t="shared" si="35"/>
        <v>0</v>
      </c>
      <c r="BF85" s="82">
        <f t="shared" si="35"/>
        <v>5.9156300383256166</v>
      </c>
    </row>
    <row r="86" spans="2:58">
      <c r="B86" s="59" t="s">
        <v>318</v>
      </c>
      <c r="C86" s="129" t="s">
        <v>24</v>
      </c>
      <c r="D86" s="73">
        <f>SUM(D84:D85)</f>
        <v>86.076999999999998</v>
      </c>
      <c r="E86" s="73">
        <f t="shared" ref="E86:M86" si="36">SUM(E84:E85)</f>
        <v>88.57</v>
      </c>
      <c r="F86" s="73">
        <f t="shared" si="36"/>
        <v>94.587999999999994</v>
      </c>
      <c r="G86" s="73">
        <f t="shared" si="36"/>
        <v>73.557999999999993</v>
      </c>
      <c r="H86" s="73">
        <f t="shared" si="36"/>
        <v>94.587999999999994</v>
      </c>
      <c r="I86" s="73">
        <f t="shared" si="36"/>
        <v>83.294999999999987</v>
      </c>
      <c r="J86" s="73">
        <f t="shared" si="36"/>
        <v>73.557999999999993</v>
      </c>
      <c r="K86" s="73">
        <f t="shared" si="36"/>
        <v>66.184999999999988</v>
      </c>
      <c r="L86" s="73">
        <f t="shared" si="36"/>
        <v>78.253999999999991</v>
      </c>
      <c r="M86" s="73">
        <f t="shared" si="36"/>
        <v>89.537999999999997</v>
      </c>
      <c r="AO86" s="130" t="s">
        <v>610</v>
      </c>
      <c r="AP86" s="82" t="e">
        <f t="shared" ref="AP86:BF87" si="37">AP67-$BE$66</f>
        <v>#VALUE!</v>
      </c>
      <c r="AQ86" s="82" t="e">
        <f t="shared" si="37"/>
        <v>#VALUE!</v>
      </c>
      <c r="AR86" s="82">
        <f t="shared" si="37"/>
        <v>339.33486220508348</v>
      </c>
      <c r="AS86" s="82" t="e">
        <f t="shared" si="37"/>
        <v>#VALUE!</v>
      </c>
      <c r="AT86" s="82">
        <f t="shared" si="37"/>
        <v>321.31900576499538</v>
      </c>
      <c r="AU86" s="82" t="e">
        <f t="shared" si="37"/>
        <v>#VALUE!</v>
      </c>
      <c r="AV86" s="82">
        <f t="shared" si="37"/>
        <v>1664.8429024357501</v>
      </c>
      <c r="AW86" s="82" t="e">
        <f t="shared" si="37"/>
        <v>#VALUE!</v>
      </c>
      <c r="AX86" s="82">
        <f t="shared" si="37"/>
        <v>321.31900576499538</v>
      </c>
      <c r="AY86" s="82" t="e">
        <f t="shared" si="37"/>
        <v>#VALUE!</v>
      </c>
      <c r="AZ86" s="82">
        <f t="shared" si="37"/>
        <v>728.70878418986467</v>
      </c>
      <c r="BA86" s="82" t="e">
        <f t="shared" si="37"/>
        <v>#VALUE!</v>
      </c>
      <c r="BB86" s="82">
        <f t="shared" si="37"/>
        <v>1626.9322545564828</v>
      </c>
      <c r="BC86" s="82" t="e">
        <f t="shared" si="37"/>
        <v>#VALUE!</v>
      </c>
      <c r="BD86" s="82">
        <f t="shared" si="37"/>
        <v>1880.4811644403999</v>
      </c>
      <c r="BE86" s="82">
        <f t="shared" si="37"/>
        <v>1173.2632402117415</v>
      </c>
      <c r="BF86" s="82">
        <f t="shared" si="37"/>
        <v>162.14556123569491</v>
      </c>
    </row>
    <row r="87" spans="2:58">
      <c r="B87" s="165" t="s">
        <v>785</v>
      </c>
      <c r="C87" s="129" t="s">
        <v>450</v>
      </c>
      <c r="D87" s="73">
        <f>$C$92*(D86^2)+(D86*$C$93)+$C$94</f>
        <v>33.477480416110012</v>
      </c>
      <c r="E87" s="53">
        <f>E27</f>
        <v>32.89</v>
      </c>
      <c r="F87" s="73">
        <f>$C$92*(F86^2)+(F86*$C$93)+$C$94</f>
        <v>43.895815516959999</v>
      </c>
      <c r="G87" s="73">
        <f t="shared" ref="G87:I87" si="38">$C$92*(G86^2)+(G86*$C$93)+$C$94</f>
        <v>21.467569932759996</v>
      </c>
      <c r="H87" s="73">
        <f t="shared" si="38"/>
        <v>43.895815516959999</v>
      </c>
      <c r="I87" s="73">
        <f t="shared" si="38"/>
        <v>30.467569294749989</v>
      </c>
      <c r="J87" s="53">
        <f>O27</f>
        <v>19.16</v>
      </c>
      <c r="K87" s="53">
        <f>Q27</f>
        <v>14.75</v>
      </c>
      <c r="L87" s="73">
        <f>$C$92*(L86^2)+(L86*$C$93)+$C$94</f>
        <v>25.510089036439989</v>
      </c>
      <c r="M87" s="73">
        <f>$C$92*(M86^2)+(M86*$C$93)+$C$94</f>
        <v>37.494049999960012</v>
      </c>
      <c r="AO87" s="130" t="s">
        <v>611</v>
      </c>
      <c r="AP87" s="82" t="e">
        <f t="shared" si="37"/>
        <v>#VALUE!</v>
      </c>
      <c r="AQ87" s="82" t="e">
        <f t="shared" si="37"/>
        <v>#VALUE!</v>
      </c>
      <c r="AR87" s="82">
        <f t="shared" si="37"/>
        <v>495.56479340245278</v>
      </c>
      <c r="AS87" s="82" t="e">
        <f t="shared" si="37"/>
        <v>#VALUE!</v>
      </c>
      <c r="AT87" s="82">
        <f t="shared" si="37"/>
        <v>477.54893696236832</v>
      </c>
      <c r="AU87" s="82" t="e">
        <f t="shared" si="37"/>
        <v>#VALUE!</v>
      </c>
      <c r="AV87" s="82">
        <f t="shared" si="37"/>
        <v>1821.0728336331194</v>
      </c>
      <c r="AW87" s="82" t="e">
        <f t="shared" si="37"/>
        <v>#VALUE!</v>
      </c>
      <c r="AX87" s="82">
        <f t="shared" si="37"/>
        <v>477.54893696236832</v>
      </c>
      <c r="AY87" s="82" t="e">
        <f t="shared" si="37"/>
        <v>#VALUE!</v>
      </c>
      <c r="AZ87" s="82">
        <f t="shared" si="37"/>
        <v>884.93871538723761</v>
      </c>
      <c r="BA87" s="82" t="e">
        <f t="shared" si="37"/>
        <v>#VALUE!</v>
      </c>
      <c r="BB87" s="82">
        <f t="shared" si="37"/>
        <v>1783.1621857538557</v>
      </c>
      <c r="BC87" s="82" t="e">
        <f t="shared" si="37"/>
        <v>#VALUE!</v>
      </c>
      <c r="BD87" s="82">
        <f t="shared" si="37"/>
        <v>2036.7110956377692</v>
      </c>
      <c r="BE87" s="82">
        <f t="shared" si="37"/>
        <v>1329.4931714091108</v>
      </c>
      <c r="BF87" s="82">
        <f t="shared" si="37"/>
        <v>318.37549243306785</v>
      </c>
    </row>
    <row r="88" spans="2:58">
      <c r="B88" s="166"/>
      <c r="C88" s="167"/>
      <c r="D88" s="168"/>
      <c r="E88" s="168"/>
      <c r="F88" s="168"/>
      <c r="G88" s="168"/>
      <c r="H88" s="168"/>
      <c r="I88" s="168"/>
      <c r="J88" s="168"/>
      <c r="K88" s="168"/>
      <c r="L88" s="168"/>
      <c r="M88" s="168"/>
      <c r="AO88" s="130"/>
      <c r="AP88" s="82"/>
      <c r="AQ88" s="82"/>
      <c r="AR88" s="82"/>
      <c r="AS88" s="82"/>
      <c r="AT88" s="82"/>
      <c r="AU88" s="82"/>
      <c r="AV88" s="82"/>
      <c r="AW88" s="82"/>
      <c r="AX88" s="82"/>
      <c r="AY88" s="82"/>
      <c r="AZ88" s="82"/>
      <c r="BA88" s="82"/>
      <c r="BB88" s="82"/>
      <c r="BC88" s="82"/>
      <c r="BD88" s="82"/>
      <c r="BE88" s="82"/>
      <c r="BF88" s="82"/>
    </row>
    <row r="89" spans="2:58">
      <c r="B89" s="1" t="s">
        <v>390</v>
      </c>
      <c r="AO89" s="130" t="s">
        <v>612</v>
      </c>
      <c r="AP89" s="82" t="e">
        <f t="shared" ref="AP89:BF92" si="39">AP69-$BE$66</f>
        <v>#VALUE!</v>
      </c>
      <c r="AQ89" s="82" t="e">
        <f t="shared" si="39"/>
        <v>#VALUE!</v>
      </c>
      <c r="AR89" s="82">
        <f t="shared" si="39"/>
        <v>651.79472459982208</v>
      </c>
      <c r="AS89" s="82" t="e">
        <f t="shared" si="39"/>
        <v>#VALUE!</v>
      </c>
      <c r="AT89" s="82">
        <f t="shared" si="39"/>
        <v>633.77886815973761</v>
      </c>
      <c r="AU89" s="82" t="e">
        <f t="shared" si="39"/>
        <v>#VALUE!</v>
      </c>
      <c r="AV89" s="82">
        <f t="shared" si="39"/>
        <v>1977.3027648304924</v>
      </c>
      <c r="AW89" s="82" t="e">
        <f t="shared" si="39"/>
        <v>#VALUE!</v>
      </c>
      <c r="AX89" s="82">
        <f t="shared" si="39"/>
        <v>633.77886815973761</v>
      </c>
      <c r="AY89" s="82" t="e">
        <f t="shared" si="39"/>
        <v>#VALUE!</v>
      </c>
      <c r="AZ89" s="82">
        <f t="shared" si="39"/>
        <v>1041.1686465846069</v>
      </c>
      <c r="BA89" s="82" t="e">
        <f t="shared" si="39"/>
        <v>#VALUE!</v>
      </c>
      <c r="BB89" s="82">
        <f t="shared" si="39"/>
        <v>1939.392116951225</v>
      </c>
      <c r="BC89" s="82" t="e">
        <f t="shared" si="39"/>
        <v>#VALUE!</v>
      </c>
      <c r="BD89" s="82">
        <f t="shared" si="39"/>
        <v>2192.9410268351385</v>
      </c>
      <c r="BE89" s="82">
        <f t="shared" si="39"/>
        <v>1485.7231026064801</v>
      </c>
      <c r="BF89" s="82">
        <f t="shared" si="39"/>
        <v>474.60542363043714</v>
      </c>
    </row>
    <row r="90" spans="2:58">
      <c r="B90" t="s">
        <v>391</v>
      </c>
      <c r="AO90" s="130" t="s">
        <v>613</v>
      </c>
      <c r="AP90" s="82" t="e">
        <f t="shared" si="39"/>
        <v>#VALUE!</v>
      </c>
      <c r="AQ90" s="82" t="e">
        <f t="shared" si="39"/>
        <v>#VALUE!</v>
      </c>
      <c r="AR90" s="82">
        <f t="shared" si="39"/>
        <v>808.02465579719137</v>
      </c>
      <c r="AS90" s="82" t="e">
        <f t="shared" si="39"/>
        <v>#VALUE!</v>
      </c>
      <c r="AT90" s="82">
        <f t="shared" si="39"/>
        <v>790.00879935710691</v>
      </c>
      <c r="AU90" s="82" t="e">
        <f t="shared" si="39"/>
        <v>#VALUE!</v>
      </c>
      <c r="AV90" s="82">
        <f t="shared" si="39"/>
        <v>2133.5326960278617</v>
      </c>
      <c r="AW90" s="82" t="e">
        <f t="shared" si="39"/>
        <v>#VALUE!</v>
      </c>
      <c r="AX90" s="82">
        <f t="shared" si="39"/>
        <v>790.00879935710691</v>
      </c>
      <c r="AY90" s="82" t="e">
        <f t="shared" si="39"/>
        <v>#VALUE!</v>
      </c>
      <c r="AZ90" s="82">
        <f t="shared" si="39"/>
        <v>1197.3985777819762</v>
      </c>
      <c r="BA90" s="82" t="e">
        <f t="shared" si="39"/>
        <v>#VALUE!</v>
      </c>
      <c r="BB90" s="82">
        <f t="shared" si="39"/>
        <v>2095.6220481485943</v>
      </c>
      <c r="BC90" s="82" t="e">
        <f t="shared" si="39"/>
        <v>#VALUE!</v>
      </c>
      <c r="BD90" s="82">
        <f t="shared" si="39"/>
        <v>2349.1709580325114</v>
      </c>
      <c r="BE90" s="82">
        <f t="shared" si="39"/>
        <v>1641.953033803853</v>
      </c>
      <c r="BF90" s="82">
        <f t="shared" si="39"/>
        <v>630.83535482780644</v>
      </c>
    </row>
    <row r="91" spans="2:58">
      <c r="B91" t="s">
        <v>392</v>
      </c>
      <c r="AO91" s="130" t="s">
        <v>614</v>
      </c>
      <c r="AP91" s="82" t="e">
        <f t="shared" si="39"/>
        <v>#VALUE!</v>
      </c>
      <c r="AQ91" s="82" t="e">
        <f t="shared" si="39"/>
        <v>#VALUE!</v>
      </c>
      <c r="AR91" s="82">
        <f t="shared" si="39"/>
        <v>964.25458699456431</v>
      </c>
      <c r="AS91" s="82" t="e">
        <f t="shared" si="39"/>
        <v>#VALUE!</v>
      </c>
      <c r="AT91" s="82">
        <f t="shared" si="39"/>
        <v>946.23873055447621</v>
      </c>
      <c r="AU91" s="82" t="e">
        <f t="shared" si="39"/>
        <v>#VALUE!</v>
      </c>
      <c r="AV91" s="82">
        <f t="shared" si="39"/>
        <v>2289.762627225231</v>
      </c>
      <c r="AW91" s="82" t="e">
        <f t="shared" si="39"/>
        <v>#VALUE!</v>
      </c>
      <c r="AX91" s="82">
        <f t="shared" si="39"/>
        <v>946.23873055447621</v>
      </c>
      <c r="AY91" s="82" t="e">
        <f t="shared" si="39"/>
        <v>#VALUE!</v>
      </c>
      <c r="AZ91" s="82">
        <f t="shared" si="39"/>
        <v>1353.6285089793455</v>
      </c>
      <c r="BA91" s="82" t="e">
        <f t="shared" si="39"/>
        <v>#VALUE!</v>
      </c>
      <c r="BB91" s="82">
        <f t="shared" si="39"/>
        <v>2251.8519793459636</v>
      </c>
      <c r="BC91" s="82" t="e">
        <f t="shared" si="39"/>
        <v>#VALUE!</v>
      </c>
      <c r="BD91" s="82">
        <f t="shared" si="39"/>
        <v>2505.4008892298807</v>
      </c>
      <c r="BE91" s="82">
        <f t="shared" si="39"/>
        <v>1798.1829650012223</v>
      </c>
      <c r="BF91" s="82">
        <f t="shared" si="39"/>
        <v>787.06528602517938</v>
      </c>
    </row>
    <row r="92" spans="2:58">
      <c r="B92" t="s">
        <v>393</v>
      </c>
      <c r="C92" s="164">
        <v>1.259E-2</v>
      </c>
      <c r="AO92" s="130" t="s">
        <v>615</v>
      </c>
      <c r="AP92" s="82" t="e">
        <f t="shared" si="39"/>
        <v>#VALUE!</v>
      </c>
      <c r="AQ92" s="82" t="e">
        <f t="shared" si="39"/>
        <v>#VALUE!</v>
      </c>
      <c r="AR92" s="82">
        <f t="shared" si="39"/>
        <v>1745.4042429814144</v>
      </c>
      <c r="AS92" s="82" t="e">
        <f t="shared" si="39"/>
        <v>#VALUE!</v>
      </c>
      <c r="AT92" s="82">
        <f t="shared" si="39"/>
        <v>1727.38838654133</v>
      </c>
      <c r="AU92" s="82" t="e">
        <f t="shared" si="39"/>
        <v>#VALUE!</v>
      </c>
      <c r="AV92" s="82">
        <f t="shared" si="39"/>
        <v>3070.9122832120847</v>
      </c>
      <c r="AW92" s="82" t="e">
        <f t="shared" si="39"/>
        <v>#VALUE!</v>
      </c>
      <c r="AX92" s="82">
        <f t="shared" si="39"/>
        <v>1727.38838654133</v>
      </c>
      <c r="AY92" s="82" t="e">
        <f t="shared" si="39"/>
        <v>#VALUE!</v>
      </c>
      <c r="AZ92" s="82">
        <f t="shared" si="39"/>
        <v>2134.7781649661993</v>
      </c>
      <c r="BA92" s="82" t="e">
        <f t="shared" si="39"/>
        <v>#VALUE!</v>
      </c>
      <c r="BB92" s="82">
        <f t="shared" si="39"/>
        <v>3033.0016353328174</v>
      </c>
      <c r="BC92" s="82" t="e">
        <f t="shared" si="39"/>
        <v>#VALUE!</v>
      </c>
      <c r="BD92" s="82">
        <f t="shared" si="39"/>
        <v>3286.5505452167308</v>
      </c>
      <c r="BE92" s="82">
        <f t="shared" si="39"/>
        <v>2579.3326209880724</v>
      </c>
      <c r="BF92" s="82">
        <f t="shared" si="39"/>
        <v>1568.2149420120295</v>
      </c>
    </row>
    <row r="93" spans="2:58">
      <c r="B93" t="s">
        <v>394</v>
      </c>
      <c r="C93" s="164">
        <v>-1.05047</v>
      </c>
    </row>
    <row r="94" spans="2:58">
      <c r="B94" t="s">
        <v>395</v>
      </c>
      <c r="C94" s="164">
        <v>30.616330000000001</v>
      </c>
      <c r="AO94" s="11" t="s">
        <v>717</v>
      </c>
    </row>
    <row r="95" spans="2:58" ht="72">
      <c r="AO95" s="144" t="s">
        <v>16</v>
      </c>
      <c r="AP95" s="117" t="s">
        <v>343</v>
      </c>
      <c r="AQ95" s="117" t="s">
        <v>435</v>
      </c>
      <c r="AR95" s="117" t="s">
        <v>436</v>
      </c>
      <c r="AS95" s="117" t="s">
        <v>437</v>
      </c>
      <c r="AT95" s="117" t="s">
        <v>438</v>
      </c>
      <c r="AU95" s="117" t="s">
        <v>439</v>
      </c>
      <c r="AV95" s="117" t="s">
        <v>440</v>
      </c>
      <c r="AW95" s="117" t="s">
        <v>441</v>
      </c>
      <c r="AX95" s="117" t="s">
        <v>442</v>
      </c>
      <c r="AY95" s="117" t="s">
        <v>443</v>
      </c>
      <c r="AZ95" s="117" t="s">
        <v>444</v>
      </c>
      <c r="BA95" s="117" t="s">
        <v>445</v>
      </c>
      <c r="BB95" s="117" t="s">
        <v>446</v>
      </c>
      <c r="BC95" s="117" t="s">
        <v>447</v>
      </c>
      <c r="BD95" s="117" t="s">
        <v>677</v>
      </c>
      <c r="BE95" s="117" t="s">
        <v>351</v>
      </c>
      <c r="BF95" s="117" t="s">
        <v>791</v>
      </c>
    </row>
    <row r="96" spans="2:58">
      <c r="AO96" s="133" t="s">
        <v>667</v>
      </c>
      <c r="AP96" s="132"/>
      <c r="AQ96" s="132"/>
      <c r="AR96" s="132"/>
      <c r="AS96" s="132"/>
      <c r="AT96" s="132"/>
      <c r="AU96" s="132"/>
      <c r="AV96" s="132"/>
      <c r="AW96" s="132"/>
      <c r="AX96" s="132"/>
      <c r="AY96" s="132"/>
      <c r="AZ96" s="132"/>
      <c r="BA96" s="132"/>
      <c r="BB96" s="132"/>
      <c r="BC96" s="132"/>
      <c r="BD96" s="132"/>
      <c r="BE96" s="132"/>
      <c r="BF96" s="132"/>
    </row>
    <row r="97" spans="2:58">
      <c r="B97" s="1" t="s">
        <v>715</v>
      </c>
      <c r="AO97" s="130" t="s">
        <v>609</v>
      </c>
      <c r="AP97" s="82" cm="1">
        <f t="array" ref="AP97">AP58-MIN(IF(ISNUMBER($AP$58:$BE$58),$AP$58:$BE$58))</f>
        <v>8578.923076923078</v>
      </c>
      <c r="AQ97" s="82" cm="1">
        <f t="array" ref="AQ97">AQ58-MIN(IF(ISNUMBER($AP$58:$BE$58),$AP$58:$BE$58))</f>
        <v>8214.4000757317772</v>
      </c>
      <c r="AR97" s="82" cm="1">
        <f t="array" ref="AR97">AR58-MIN(IF(ISNUMBER($AP$58:$BE$58),$AP$58:$BE$58))</f>
        <v>210</v>
      </c>
      <c r="AS97" s="82" t="e" cm="1">
        <f t="array" ref="AS97">AS58-MIN(IF(ISNUMBER($AP$58:$BE$58),$AP$58:$BE$58))</f>
        <v>#VALUE!</v>
      </c>
      <c r="AT97" s="82" cm="1">
        <f t="array" ref="AT97">AT58-MIN(IF(ISNUMBER($AP$58:$BE$58),$AP$58:$BE$58))</f>
        <v>0</v>
      </c>
      <c r="AU97" s="82" cm="1">
        <f t="array" ref="AU97">AU58-MIN(IF(ISNUMBER($AP$58:$BE$58),$AP$58:$BE$58))</f>
        <v>8659.942355691499</v>
      </c>
      <c r="AV97" s="82" cm="1">
        <f t="array" ref="AV97">AV58-MIN(IF(ISNUMBER($AP$58:$BE$58),$AP$58:$BE$58))</f>
        <v>1355</v>
      </c>
      <c r="AW97" s="82" t="e" cm="1">
        <f t="array" ref="AW97">AW58-MIN(IF(ISNUMBER($AP$58:$BE$58),$AP$58:$BE$58))</f>
        <v>#VALUE!</v>
      </c>
      <c r="AX97" s="82" cm="1">
        <f t="array" ref="AX97">AX58-MIN(IF(ISNUMBER($AP$58:$BE$58),$AP$58:$BE$58))</f>
        <v>0</v>
      </c>
      <c r="AY97" s="82" cm="1">
        <f t="array" ref="AY97">AY58-MIN(IF(ISNUMBER($AP$58:$BE$58),$AP$58:$BE$58))</f>
        <v>8443.2803046854315</v>
      </c>
      <c r="AZ97" s="82" cm="1">
        <f t="array" ref="AZ97">AZ58-MIN(IF(ISNUMBER($AP$58:$BE$58),$AP$58:$BE$58))</f>
        <v>628</v>
      </c>
      <c r="BA97" s="82" cm="1">
        <f t="array" ref="BA97">BA58-MIN(IF(ISNUMBER($AP$58:$BE$58),$AP$58:$BE$58))</f>
        <v>8437.561460310324</v>
      </c>
      <c r="BB97" s="82" cm="1">
        <f t="array" ref="BB97">BB58-MIN(IF(ISNUMBER($AP$58:$BE$58),$AP$58:$BE$58))</f>
        <v>1355</v>
      </c>
      <c r="BC97" s="82" cm="1">
        <f t="array" ref="BC97">BC58-MIN(IF(ISNUMBER($AP$58:$BE$58),$AP$58:$BE$58))</f>
        <v>8338.5690322550727</v>
      </c>
      <c r="BD97" s="82" cm="1">
        <f t="array" ref="BD97">BD58-MIN(IF(ISNUMBER($AP$58:$BE$58),$AP$58:$BE$58))</f>
        <v>1681</v>
      </c>
      <c r="BE97" s="82" cm="1">
        <f t="array" ref="BE97">BE58-MIN(IF(ISNUMBER($AP$58:$BE$58),$AP$58:$BE$58))</f>
        <v>1154</v>
      </c>
      <c r="BF97" s="82" cm="1">
        <f t="array" ref="BF97">BF58-MIN(IF(ISNUMBER($AP$58:$BF$58),$AP$58:$BF$58))</f>
        <v>0</v>
      </c>
    </row>
    <row r="98" spans="2:58">
      <c r="B98" t="s">
        <v>722</v>
      </c>
      <c r="AO98" s="130" t="s">
        <v>610</v>
      </c>
      <c r="AP98" s="82" cm="1">
        <f t="array" ref="AP98">AP59-MIN(IF(ISNUMBER($AP$58:$BE$58),$AP$58:$BE$58))</f>
        <v>8726.5945616686076</v>
      </c>
      <c r="AQ98" s="82" cm="1">
        <f t="array" ref="AQ98">AQ59-MIN(IF(ISNUMBER($AP$58:$BE$58),$AP$58:$BE$58))</f>
        <v>8658.3079569264155</v>
      </c>
      <c r="AR98" s="82" cm="1">
        <f t="array" ref="AR98">AR59-MIN(IF(ISNUMBER($AP$58:$BE$58),$AP$58:$BE$58))</f>
        <v>210</v>
      </c>
      <c r="AS98" s="82" t="e" cm="1">
        <f t="array" ref="AS98">AS59-MIN(IF(ISNUMBER($AP$58:$BE$58),$AP$58:$BE$58))</f>
        <v>#VALUE!</v>
      </c>
      <c r="AT98" s="82" cm="1">
        <f t="array" ref="AT98">AT59-MIN(IF(ISNUMBER($AP$58:$BE$58),$AP$58:$BE$58))</f>
        <v>0</v>
      </c>
      <c r="AU98" s="82" cm="1">
        <f t="array" ref="AU98">AU59-MIN(IF(ISNUMBER($AP$58:$BE$58),$AP$58:$BE$58))</f>
        <v>9103.8502368861373</v>
      </c>
      <c r="AV98" s="82" cm="1">
        <f t="array" ref="AV98">AV59-MIN(IF(ISNUMBER($AP$58:$BE$58),$AP$58:$BE$58))</f>
        <v>1355</v>
      </c>
      <c r="AW98" s="82" t="e" cm="1">
        <f t="array" ref="AW98">AW59-MIN(IF(ISNUMBER($AP$58:$BE$58),$AP$58:$BE$58))</f>
        <v>#VALUE!</v>
      </c>
      <c r="AX98" s="82" cm="1">
        <f t="array" ref="AX98">AX59-MIN(IF(ISNUMBER($AP$58:$BE$58),$AP$58:$BE$58))</f>
        <v>0</v>
      </c>
      <c r="AY98" s="82" cm="1">
        <f t="array" ref="AY98">AY59-MIN(IF(ISNUMBER($AP$58:$BE$58),$AP$58:$BE$58))</f>
        <v>8887.1881858800771</v>
      </c>
      <c r="AZ98" s="82" cm="1">
        <f t="array" ref="AZ98">AZ59-MIN(IF(ISNUMBER($AP$58:$BE$58),$AP$58:$BE$58))</f>
        <v>628</v>
      </c>
      <c r="BA98" s="82" cm="1">
        <f t="array" ref="BA98">BA59-MIN(IF(ISNUMBER($AP$58:$BE$58),$AP$58:$BE$58))</f>
        <v>8881.4693415049696</v>
      </c>
      <c r="BB98" s="82" cm="1">
        <f t="array" ref="BB98">BB59-MIN(IF(ISNUMBER($AP$58:$BE$58),$AP$58:$BE$58))</f>
        <v>1355</v>
      </c>
      <c r="BC98" s="82" cm="1">
        <f t="array" ref="BC98">BC59-MIN(IF(ISNUMBER($AP$58:$BE$58),$AP$58:$BE$58))</f>
        <v>8782.4769134497183</v>
      </c>
      <c r="BD98" s="82" cm="1">
        <f t="array" ref="BD98">BD59-MIN(IF(ISNUMBER($AP$58:$BE$58),$AP$58:$BE$58))</f>
        <v>1681</v>
      </c>
      <c r="BE98" s="82" cm="1">
        <f t="array" ref="BE98">BE59-MIN(IF(ISNUMBER($AP$58:$BE$58),$AP$58:$BE$58))</f>
        <v>1154</v>
      </c>
      <c r="BF98" s="82" cm="1">
        <f t="array" ref="BF98">BF59-MIN(IF(ISNUMBER($AP$58:$BF$58),$AP$58:$BF$58))</f>
        <v>0</v>
      </c>
    </row>
    <row r="99" spans="2:58" s="150" customFormat="1" ht="57.6">
      <c r="C99" s="149" t="str">
        <f>D2</f>
        <v>Fabric Standard</v>
      </c>
      <c r="D99" s="119" t="str">
        <f t="shared" ref="D99:T101" si="40">D3</f>
        <v>Part L 21</v>
      </c>
      <c r="E99" s="119" t="str">
        <f t="shared" si="40"/>
        <v xml:space="preserve">Notional Building C&amp;B </v>
      </c>
      <c r="F99" s="119" t="str">
        <f t="shared" si="40"/>
        <v xml:space="preserve">Notional Building C&amp;B </v>
      </c>
      <c r="G99" s="119" t="str">
        <f t="shared" si="40"/>
        <v>35 kWh/m2.year</v>
      </c>
      <c r="H99" s="119" t="str">
        <f t="shared" si="40"/>
        <v>35 kWh/m2.year</v>
      </c>
      <c r="I99" s="119" t="str">
        <f t="shared" si="40"/>
        <v>35 kWh/m2.year</v>
      </c>
      <c r="J99" s="119" t="str">
        <f t="shared" si="40"/>
        <v>35 kWh/m2.year</v>
      </c>
      <c r="K99" s="119" t="str">
        <f t="shared" si="40"/>
        <v>30 kWh/m2.year</v>
      </c>
      <c r="L99" s="119" t="str">
        <f t="shared" si="40"/>
        <v>30 kWh/m2.year</v>
      </c>
      <c r="M99" s="119" t="str">
        <f t="shared" si="40"/>
        <v>25 kWh/m2.year</v>
      </c>
      <c r="N99" s="119" t="str">
        <f t="shared" si="40"/>
        <v>25 kWh/m2.year</v>
      </c>
      <c r="O99" s="119" t="str">
        <f t="shared" si="40"/>
        <v>20 kWh/m2.year</v>
      </c>
      <c r="P99" s="119" t="str">
        <f t="shared" si="40"/>
        <v>20 kWh/m2.year</v>
      </c>
      <c r="Q99" s="119" t="str">
        <f t="shared" si="40"/>
        <v>15 kWh/m2.year (Passivhaus)</v>
      </c>
      <c r="R99" s="119" t="str">
        <f t="shared" si="40"/>
        <v>15 kWh/m2.year (Passivhaus)</v>
      </c>
      <c r="S99" s="119" t="str">
        <f t="shared" si="40"/>
        <v>FHS</v>
      </c>
      <c r="T99" s="119" t="str">
        <f t="shared" si="40"/>
        <v>Bespoke</v>
      </c>
      <c r="V99" s="151"/>
      <c r="AO99" s="152" t="s">
        <v>611</v>
      </c>
      <c r="AP99" s="82" cm="1">
        <f t="array" ref="AP99">AP60-MIN(IF(ISNUMBER($AP$58:$BE$58),$AP$58:$BE$58))</f>
        <v>9170.502442863246</v>
      </c>
      <c r="AQ99" s="82" t="e" cm="1">
        <f t="array" ref="AQ99">AQ60-MIN(IF(ISNUMBER($AP$58:$BE$58),$AP$58:$BE$58))</f>
        <v>#VALUE!</v>
      </c>
      <c r="AR99" s="82" cm="1">
        <f t="array" ref="AR99">AR60-MIN(IF(ISNUMBER($AP$58:$BE$58),$AP$58:$BE$58))</f>
        <v>210</v>
      </c>
      <c r="AS99" s="82" t="e" cm="1">
        <f t="array" ref="AS99">AS60-MIN(IF(ISNUMBER($AP$58:$BE$58),$AP$58:$BE$58))</f>
        <v>#VALUE!</v>
      </c>
      <c r="AT99" s="82" cm="1">
        <f t="array" ref="AT99">AT60-MIN(IF(ISNUMBER($AP$58:$BE$58),$AP$58:$BE$58))</f>
        <v>0</v>
      </c>
      <c r="AU99" s="82" cm="1">
        <f t="array" ref="AU99">AU60-MIN(IF(ISNUMBER($AP$58:$BE$58),$AP$58:$BE$58))</f>
        <v>9547.7581180807829</v>
      </c>
      <c r="AV99" s="82" cm="1">
        <f t="array" ref="AV99">AV60-MIN(IF(ISNUMBER($AP$58:$BE$58),$AP$58:$BE$58))</f>
        <v>1355</v>
      </c>
      <c r="AW99" s="82" t="e" cm="1">
        <f t="array" ref="AW99">AW60-MIN(IF(ISNUMBER($AP$58:$BE$58),$AP$58:$BE$58))</f>
        <v>#VALUE!</v>
      </c>
      <c r="AX99" s="82" cm="1">
        <f t="array" ref="AX99">AX60-MIN(IF(ISNUMBER($AP$58:$BE$58),$AP$58:$BE$58))</f>
        <v>0</v>
      </c>
      <c r="AY99" s="82" cm="1">
        <f t="array" ref="AY99">AY60-MIN(IF(ISNUMBER($AP$58:$BE$58),$AP$58:$BE$58))</f>
        <v>10261.176122970319</v>
      </c>
      <c r="AZ99" s="82" cm="1">
        <f t="array" ref="AZ99">AZ60-MIN(IF(ISNUMBER($AP$58:$BE$58),$AP$58:$BE$58))</f>
        <v>628</v>
      </c>
      <c r="BA99" s="82" cm="1">
        <f t="array" ref="BA99">BA60-MIN(IF(ISNUMBER($AP$58:$BE$58),$AP$58:$BE$58))</f>
        <v>9325.3772226996152</v>
      </c>
      <c r="BB99" s="82" cm="1">
        <f t="array" ref="BB99">BB60-MIN(IF(ISNUMBER($AP$58:$BE$58),$AP$58:$BE$58))</f>
        <v>1355</v>
      </c>
      <c r="BC99" s="82" cm="1">
        <f t="array" ref="BC99">BC60-MIN(IF(ISNUMBER($AP$58:$BE$58),$AP$58:$BE$58))</f>
        <v>9226.3847946443639</v>
      </c>
      <c r="BD99" s="82" cm="1">
        <f t="array" ref="BD99">BD60-MIN(IF(ISNUMBER($AP$58:$BE$58),$AP$58:$BE$58))</f>
        <v>1681</v>
      </c>
      <c r="BE99" s="82" cm="1">
        <f t="array" ref="BE99">BE60-MIN(IF(ISNUMBER($AP$58:$BE$58),$AP$58:$BE$58))</f>
        <v>1154</v>
      </c>
      <c r="BF99" s="82" cm="1">
        <f t="array" ref="BF99">BF60-MIN(IF(ISNUMBER($AP$58:$BF$58),$AP$58:$BF$58))</f>
        <v>0</v>
      </c>
    </row>
    <row r="100" spans="2:58" s="150" customFormat="1">
      <c r="C100" s="149" t="str">
        <f>C4</f>
        <v>Gas / ASHP</v>
      </c>
      <c r="D100" s="119" t="str">
        <f t="shared" si="40"/>
        <v>Gas</v>
      </c>
      <c r="E100" s="119" t="str">
        <f t="shared" si="40"/>
        <v>Gas</v>
      </c>
      <c r="F100" s="119" t="str">
        <f t="shared" si="40"/>
        <v>ASHP</v>
      </c>
      <c r="G100" s="119" t="str">
        <f t="shared" si="40"/>
        <v>Gas</v>
      </c>
      <c r="H100" s="119" t="str">
        <f t="shared" si="40"/>
        <v>ASHP</v>
      </c>
      <c r="I100" s="119" t="str">
        <f t="shared" si="40"/>
        <v>Gas</v>
      </c>
      <c r="J100" s="119" t="str">
        <f t="shared" si="40"/>
        <v>ASHP</v>
      </c>
      <c r="K100" s="119" t="str">
        <f t="shared" si="40"/>
        <v>Gas</v>
      </c>
      <c r="L100" s="119" t="str">
        <f t="shared" si="40"/>
        <v>ASHP</v>
      </c>
      <c r="M100" s="119" t="str">
        <f t="shared" si="40"/>
        <v>Gas</v>
      </c>
      <c r="N100" s="119" t="str">
        <f t="shared" si="40"/>
        <v>ASHP</v>
      </c>
      <c r="O100" s="119" t="str">
        <f t="shared" si="40"/>
        <v>Gas</v>
      </c>
      <c r="P100" s="119" t="str">
        <f t="shared" si="40"/>
        <v>ASHP</v>
      </c>
      <c r="Q100" s="119" t="str">
        <f t="shared" si="40"/>
        <v>Gas</v>
      </c>
      <c r="R100" s="119" t="str">
        <f t="shared" si="40"/>
        <v>ASHP</v>
      </c>
      <c r="S100" s="119" t="str">
        <f t="shared" si="40"/>
        <v>ASHP</v>
      </c>
      <c r="T100" s="119" t="str">
        <f t="shared" si="40"/>
        <v>ASHP</v>
      </c>
      <c r="V100" s="151"/>
      <c r="AO100" s="152" t="s">
        <v>612</v>
      </c>
      <c r="AP100" s="82" t="e" cm="1">
        <f t="array" ref="AP100">AP61-MIN(IF(ISNUMBER($AP$58:$BE$58),$AP$58:$BE$58))</f>
        <v>#VALUE!</v>
      </c>
      <c r="AQ100" s="82" t="e" cm="1">
        <f t="array" ref="AQ100">AQ61-MIN(IF(ISNUMBER($AP$58:$BE$58),$AP$58:$BE$58))</f>
        <v>#VALUE!</v>
      </c>
      <c r="AR100" s="82" cm="1">
        <f t="array" ref="AR100">AR61-MIN(IF(ISNUMBER($AP$58:$BE$58),$AP$58:$BE$58))</f>
        <v>210</v>
      </c>
      <c r="AS100" s="82" t="e" cm="1">
        <f t="array" ref="AS100">AS61-MIN(IF(ISNUMBER($AP$58:$BE$58),$AP$58:$BE$58))</f>
        <v>#VALUE!</v>
      </c>
      <c r="AT100" s="82" cm="1">
        <f t="array" ref="AT100">AT61-MIN(IF(ISNUMBER($AP$58:$BE$58),$AP$58:$BE$58))</f>
        <v>0</v>
      </c>
      <c r="AU100" s="82" cm="1">
        <f t="array" ref="AU100">AU61-MIN(IF(ISNUMBER($AP$58:$BE$58),$AP$58:$BE$58))</f>
        <v>9991.6659992754285</v>
      </c>
      <c r="AV100" s="82" cm="1">
        <f t="array" ref="AV100">AV61-MIN(IF(ISNUMBER($AP$58:$BE$58),$AP$58:$BE$58))</f>
        <v>1355</v>
      </c>
      <c r="AW100" s="82" t="e" cm="1">
        <f t="array" ref="AW100">AW61-MIN(IF(ISNUMBER($AP$58:$BE$58),$AP$58:$BE$58))</f>
        <v>#VALUE!</v>
      </c>
      <c r="AX100" s="82" cm="1">
        <f t="array" ref="AX100">AX61-MIN(IF(ISNUMBER($AP$58:$BE$58),$AP$58:$BE$58))</f>
        <v>0</v>
      </c>
      <c r="AY100" s="82" t="e" cm="1">
        <f t="array" ref="AY100">AY61-MIN(IF(ISNUMBER($AP$58:$BE$58),$AP$58:$BE$58))</f>
        <v>#VALUE!</v>
      </c>
      <c r="AZ100" s="82" cm="1">
        <f t="array" ref="AZ100">AZ61-MIN(IF(ISNUMBER($AP$58:$BE$58),$AP$58:$BE$58))</f>
        <v>628</v>
      </c>
      <c r="BA100" s="82" cm="1">
        <f t="array" ref="BA100">BA61-MIN(IF(ISNUMBER($AP$58:$BE$58),$AP$58:$BE$58))</f>
        <v>9769.2851038942608</v>
      </c>
      <c r="BB100" s="82" cm="1">
        <f t="array" ref="BB100">BB61-MIN(IF(ISNUMBER($AP$58:$BE$58),$AP$58:$BE$58))</f>
        <v>1355</v>
      </c>
      <c r="BC100" s="82" cm="1">
        <f t="array" ref="BC100">BC61-MIN(IF(ISNUMBER($AP$58:$BE$58),$AP$58:$BE$58))</f>
        <v>9670.2926758390095</v>
      </c>
      <c r="BD100" s="82" cm="1">
        <f t="array" ref="BD100">BD61-MIN(IF(ISNUMBER($AP$58:$BE$58),$AP$58:$BE$58))</f>
        <v>1681</v>
      </c>
      <c r="BE100" s="82" cm="1">
        <f t="array" ref="BE100">BE61-MIN(IF(ISNUMBER($AP$58:$BE$58),$AP$58:$BE$58))</f>
        <v>1154</v>
      </c>
      <c r="BF100" s="82" cm="1">
        <f t="array" ref="BF100">BF61-MIN(IF(ISNUMBER($AP$58:$BF$58),$AP$58:$BF$58))</f>
        <v>0</v>
      </c>
    </row>
    <row r="101" spans="2:58" s="150" customFormat="1" ht="28.8">
      <c r="C101" s="149" t="str">
        <f>C5</f>
        <v>Nat Vent / MVHR</v>
      </c>
      <c r="D101" s="119" t="str">
        <f t="shared" si="40"/>
        <v>Natural Ventilation</v>
      </c>
      <c r="E101" s="119" t="str">
        <f t="shared" si="40"/>
        <v>Natural Ventilation</v>
      </c>
      <c r="F101" s="119" t="str">
        <f t="shared" si="40"/>
        <v>Natural Ventilation</v>
      </c>
      <c r="G101" s="119" t="str">
        <f t="shared" si="40"/>
        <v>Natural Ventilation</v>
      </c>
      <c r="H101" s="119" t="str">
        <f t="shared" si="40"/>
        <v>Natural Ventilation</v>
      </c>
      <c r="I101" s="119" t="str">
        <f t="shared" si="40"/>
        <v>MVHR</v>
      </c>
      <c r="J101" s="119" t="str">
        <f t="shared" si="40"/>
        <v>MVHR</v>
      </c>
      <c r="K101" s="119" t="str">
        <f t="shared" si="40"/>
        <v>Natural Ventilation</v>
      </c>
      <c r="L101" s="119" t="str">
        <f t="shared" si="40"/>
        <v>Natural Ventilation</v>
      </c>
      <c r="M101" s="119" t="str">
        <f t="shared" si="40"/>
        <v>Natural Ventilation</v>
      </c>
      <c r="N101" s="119" t="str">
        <f t="shared" si="40"/>
        <v>Natural Ventilation</v>
      </c>
      <c r="O101" s="119" t="str">
        <f t="shared" si="40"/>
        <v>MVHR</v>
      </c>
      <c r="P101" s="119" t="str">
        <f t="shared" si="40"/>
        <v>MVHR</v>
      </c>
      <c r="Q101" s="119" t="str">
        <f t="shared" si="40"/>
        <v>MVHR</v>
      </c>
      <c r="R101" s="119" t="str">
        <f t="shared" si="40"/>
        <v>MVHR</v>
      </c>
      <c r="S101" s="119" t="str">
        <f t="shared" si="40"/>
        <v>Natural Ventilation</v>
      </c>
      <c r="T101" s="119" t="str">
        <f t="shared" si="40"/>
        <v>Natural Ventilation</v>
      </c>
      <c r="V101" s="151"/>
      <c r="AO101" s="130" t="s">
        <v>613</v>
      </c>
      <c r="AP101" s="82" t="e" cm="1">
        <f t="array" ref="AP101">AP62-MIN(IF(ISNUMBER($AP$58:$BE$58),$AP$58:$BE$58))</f>
        <v>#VALUE!</v>
      </c>
      <c r="AQ101" s="82" t="e" cm="1">
        <f t="array" ref="AQ101">AQ62-MIN(IF(ISNUMBER($AP$58:$BE$58),$AP$58:$BE$58))</f>
        <v>#VALUE!</v>
      </c>
      <c r="AR101" s="82" cm="1">
        <f t="array" ref="AR101">AR62-MIN(IF(ISNUMBER($AP$58:$BE$58),$AP$58:$BE$58))</f>
        <v>210</v>
      </c>
      <c r="AS101" s="82" t="e" cm="1">
        <f t="array" ref="AS101">AS62-MIN(IF(ISNUMBER($AP$58:$BE$58),$AP$58:$BE$58))</f>
        <v>#VALUE!</v>
      </c>
      <c r="AT101" s="82" cm="1">
        <f t="array" ref="AT101">AT62-MIN(IF(ISNUMBER($AP$58:$BE$58),$AP$58:$BE$58))</f>
        <v>0</v>
      </c>
      <c r="AU101" s="82" t="e" cm="1">
        <f t="array" ref="AU101">AU62-MIN(IF(ISNUMBER($AP$58:$BE$58),$AP$58:$BE$58))</f>
        <v>#VALUE!</v>
      </c>
      <c r="AV101" s="82" cm="1">
        <f t="array" ref="AV101">AV62-MIN(IF(ISNUMBER($AP$58:$BE$58),$AP$58:$BE$58))</f>
        <v>1355</v>
      </c>
      <c r="AW101" s="82" t="e" cm="1">
        <f t="array" ref="AW101">AW62-MIN(IF(ISNUMBER($AP$58:$BE$58),$AP$58:$BE$58))</f>
        <v>#VALUE!</v>
      </c>
      <c r="AX101" s="82" cm="1">
        <f t="array" ref="AX101">AX62-MIN(IF(ISNUMBER($AP$58:$BE$58),$AP$58:$BE$58))</f>
        <v>0</v>
      </c>
      <c r="AY101" s="82" t="e" cm="1">
        <f t="array" ref="AY101">AY62-MIN(IF(ISNUMBER($AP$58:$BE$58),$AP$58:$BE$58))</f>
        <v>#VALUE!</v>
      </c>
      <c r="AZ101" s="82" cm="1">
        <f t="array" ref="AZ101">AZ62-MIN(IF(ISNUMBER($AP$58:$BE$58),$AP$58:$BE$58))</f>
        <v>628</v>
      </c>
      <c r="BA101" s="82" t="e" cm="1">
        <f t="array" ref="BA101">BA62-MIN(IF(ISNUMBER($AP$58:$BE$58),$AP$58:$BE$58))</f>
        <v>#VALUE!</v>
      </c>
      <c r="BB101" s="82" cm="1">
        <f t="array" ref="BB101">BB62-MIN(IF(ISNUMBER($AP$58:$BE$58),$AP$58:$BE$58))</f>
        <v>1355</v>
      </c>
      <c r="BC101" s="82" cm="1">
        <f t="array" ref="BC101">BC62-MIN(IF(ISNUMBER($AP$58:$BE$58),$AP$58:$BE$58))</f>
        <v>10114.200557033655</v>
      </c>
      <c r="BD101" s="82" cm="1">
        <f t="array" ref="BD101">BD62-MIN(IF(ISNUMBER($AP$58:$BE$58),$AP$58:$BE$58))</f>
        <v>1681</v>
      </c>
      <c r="BE101" s="82" cm="1">
        <f t="array" ref="BE101">BE62-MIN(IF(ISNUMBER($AP$58:$BE$58),$AP$58:$BE$58))</f>
        <v>1154</v>
      </c>
      <c r="BF101" s="82" cm="1">
        <f t="array" ref="BF101">BF62-MIN(IF(ISNUMBER($AP$58:$BF$58),$AP$58:$BF$58))</f>
        <v>0</v>
      </c>
    </row>
    <row r="102" spans="2:58">
      <c r="B102" s="41" t="s">
        <v>723</v>
      </c>
      <c r="AO102" s="130" t="s">
        <v>614</v>
      </c>
      <c r="AP102" s="82" t="e" cm="1">
        <f t="array" ref="AP102">AP63-MIN(IF(ISNUMBER($AP$58:$BE$58),$AP$58:$BE$58))</f>
        <v>#VALUE!</v>
      </c>
      <c r="AQ102" s="82" t="e" cm="1">
        <f t="array" ref="AQ102">AQ63-MIN(IF(ISNUMBER($AP$58:$BE$58),$AP$58:$BE$58))</f>
        <v>#VALUE!</v>
      </c>
      <c r="AR102" s="82" cm="1">
        <f t="array" ref="AR102">AR63-MIN(IF(ISNUMBER($AP$58:$BE$58),$AP$58:$BE$58))</f>
        <v>210</v>
      </c>
      <c r="AS102" s="82" t="e" cm="1">
        <f t="array" ref="AS102">AS63-MIN(IF(ISNUMBER($AP$58:$BE$58),$AP$58:$BE$58))</f>
        <v>#VALUE!</v>
      </c>
      <c r="AT102" s="82" cm="1">
        <f t="array" ref="AT102">AT63-MIN(IF(ISNUMBER($AP$58:$BE$58),$AP$58:$BE$58))</f>
        <v>0</v>
      </c>
      <c r="AU102" s="82" t="e" cm="1">
        <f t="array" ref="AU102">AU63-MIN(IF(ISNUMBER($AP$58:$BE$58),$AP$58:$BE$58))</f>
        <v>#VALUE!</v>
      </c>
      <c r="AV102" s="82" cm="1">
        <f t="array" ref="AV102">AV63-MIN(IF(ISNUMBER($AP$58:$BE$58),$AP$58:$BE$58))</f>
        <v>1355</v>
      </c>
      <c r="AW102" s="82" t="e" cm="1">
        <f t="array" ref="AW102">AW63-MIN(IF(ISNUMBER($AP$58:$BE$58),$AP$58:$BE$58))</f>
        <v>#VALUE!</v>
      </c>
      <c r="AX102" s="82" cm="1">
        <f t="array" ref="AX102">AX63-MIN(IF(ISNUMBER($AP$58:$BE$58),$AP$58:$BE$58))</f>
        <v>0</v>
      </c>
      <c r="AY102" s="82" t="e" cm="1">
        <f t="array" ref="AY102">AY63-MIN(IF(ISNUMBER($AP$58:$BE$58),$AP$58:$BE$58))</f>
        <v>#VALUE!</v>
      </c>
      <c r="AZ102" s="82" cm="1">
        <f t="array" ref="AZ102">AZ63-MIN(IF(ISNUMBER($AP$58:$BE$58),$AP$58:$BE$58))</f>
        <v>628</v>
      </c>
      <c r="BA102" s="82" t="e" cm="1">
        <f t="array" ref="BA102">BA63-MIN(IF(ISNUMBER($AP$58:$BE$58),$AP$58:$BE$58))</f>
        <v>#VALUE!</v>
      </c>
      <c r="BB102" s="82" cm="1">
        <f t="array" ref="BB102">BB63-MIN(IF(ISNUMBER($AP$58:$BE$58),$AP$58:$BE$58))</f>
        <v>1355</v>
      </c>
      <c r="BC102" s="82" t="e" cm="1">
        <f t="array" ref="BC102">BC63-MIN(IF(ISNUMBER($AP$58:$BE$58),$AP$58:$BE$58))</f>
        <v>#VALUE!</v>
      </c>
      <c r="BD102" s="82" cm="1">
        <f t="array" ref="BD102">BD63-MIN(IF(ISNUMBER($AP$58:$BE$58),$AP$58:$BE$58))</f>
        <v>1681</v>
      </c>
      <c r="BE102" s="82" cm="1">
        <f t="array" ref="BE102">BE63-MIN(IF(ISNUMBER($AP$58:$BE$58),$AP$58:$BE$58))</f>
        <v>1154</v>
      </c>
      <c r="BF102" s="82" cm="1">
        <f t="array" ref="BF102">BF63-MIN(IF(ISNUMBER($AP$58:$BF$58),$AP$58:$BF$58))</f>
        <v>0</v>
      </c>
    </row>
    <row r="103" spans="2:58">
      <c r="B103" s="71" t="s">
        <v>621</v>
      </c>
      <c r="D103" s="50">
        <v>1</v>
      </c>
      <c r="E103" s="50">
        <v>1</v>
      </c>
      <c r="F103" s="50">
        <v>1</v>
      </c>
      <c r="G103" s="50">
        <v>1</v>
      </c>
      <c r="H103" s="50">
        <v>1</v>
      </c>
      <c r="I103" s="50">
        <v>1</v>
      </c>
      <c r="J103" s="50">
        <v>1</v>
      </c>
      <c r="K103" s="50">
        <v>1</v>
      </c>
      <c r="L103" s="50">
        <v>1</v>
      </c>
      <c r="M103" s="50">
        <v>1</v>
      </c>
      <c r="N103" s="50">
        <v>1</v>
      </c>
      <c r="O103" s="50">
        <v>1</v>
      </c>
      <c r="P103" s="50">
        <v>1</v>
      </c>
      <c r="Q103" s="50">
        <v>1</v>
      </c>
      <c r="R103" s="50">
        <v>1</v>
      </c>
      <c r="S103" s="50">
        <v>1</v>
      </c>
      <c r="T103" s="50">
        <v>0</v>
      </c>
      <c r="AO103" s="130" t="s">
        <v>615</v>
      </c>
      <c r="AP103" s="82" t="e" cm="1">
        <f t="array" ref="AP103">AP64-MIN(IF(ISNUMBER($AP$58:$BE$58),$AP$58:$BE$58))</f>
        <v>#VALUE!</v>
      </c>
      <c r="AQ103" s="82" t="e" cm="1">
        <f t="array" ref="AQ103">AQ64-MIN(IF(ISNUMBER($AP$58:$BE$58),$AP$58:$BE$58))</f>
        <v>#VALUE!</v>
      </c>
      <c r="AR103" s="82" cm="1">
        <f t="array" ref="AR103">AR64-MIN(IF(ISNUMBER($AP$58:$BE$58),$AP$58:$BE$58))</f>
        <v>2899.4042429814144</v>
      </c>
      <c r="AS103" s="82" t="e" cm="1">
        <f t="array" ref="AS103">AS64-MIN(IF(ISNUMBER($AP$58:$BE$58),$AP$58:$BE$58))</f>
        <v>#VALUE!</v>
      </c>
      <c r="AT103" s="82" cm="1">
        <f t="array" ref="AT103">AT64-MIN(IF(ISNUMBER($AP$58:$BE$58),$AP$58:$BE$58))</f>
        <v>2881.38838654133</v>
      </c>
      <c r="AU103" s="82" t="e" cm="1">
        <f t="array" ref="AU103">AU64-MIN(IF(ISNUMBER($AP$58:$BE$58),$AP$58:$BE$58))</f>
        <v>#VALUE!</v>
      </c>
      <c r="AV103" s="82" cm="1">
        <f t="array" ref="AV103">AV64-MIN(IF(ISNUMBER($AP$58:$BE$58),$AP$58:$BE$58))</f>
        <v>4224.9122832120847</v>
      </c>
      <c r="AW103" s="82" t="e" cm="1">
        <f t="array" ref="AW103">AW64-MIN(IF(ISNUMBER($AP$58:$BE$58),$AP$58:$BE$58))</f>
        <v>#VALUE!</v>
      </c>
      <c r="AX103" s="82" cm="1">
        <f t="array" ref="AX103">AX64-MIN(IF(ISNUMBER($AP$58:$BE$58),$AP$58:$BE$58))</f>
        <v>2881.38838654133</v>
      </c>
      <c r="AY103" s="82" t="e" cm="1">
        <f t="array" ref="AY103">AY64-MIN(IF(ISNUMBER($AP$58:$BE$58),$AP$58:$BE$58))</f>
        <v>#VALUE!</v>
      </c>
      <c r="AZ103" s="82" cm="1">
        <f t="array" ref="AZ103">AZ64-MIN(IF(ISNUMBER($AP$58:$BE$58),$AP$58:$BE$58))</f>
        <v>3288.7781649661993</v>
      </c>
      <c r="BA103" s="82" t="e" cm="1">
        <f t="array" ref="BA103">BA64-MIN(IF(ISNUMBER($AP$58:$BE$58),$AP$58:$BE$58))</f>
        <v>#VALUE!</v>
      </c>
      <c r="BB103" s="82" cm="1">
        <f t="array" ref="BB103">BB64-MIN(IF(ISNUMBER($AP$58:$BE$58),$AP$58:$BE$58))</f>
        <v>4187.0016353328174</v>
      </c>
      <c r="BC103" s="82" t="e" cm="1">
        <f t="array" ref="BC103">BC64-MIN(IF(ISNUMBER($AP$58:$BE$58),$AP$58:$BE$58))</f>
        <v>#VALUE!</v>
      </c>
      <c r="BD103" s="82" cm="1">
        <f t="array" ref="BD103">BD64-MIN(IF(ISNUMBER($AP$58:$BE$58),$AP$58:$BE$58))</f>
        <v>4440.5505452167308</v>
      </c>
      <c r="BE103" s="82" cm="1">
        <f t="array" ref="BE103">BE64-MIN(IF(ISNUMBER($AP$58:$BE$58),$AP$58:$BE$58))</f>
        <v>3733.3326209880724</v>
      </c>
      <c r="BF103" s="82" cm="1">
        <f t="array" ref="BF103">BF64-MIN(IF(ISNUMBER($AP$58:$BF$58),$AP$58:$BF$58))</f>
        <v>2776.2149420120295</v>
      </c>
    </row>
    <row r="104" spans="2:58">
      <c r="B104" s="71" t="s">
        <v>600</v>
      </c>
      <c r="D104" s="50">
        <v>0</v>
      </c>
      <c r="E104" s="50">
        <v>0</v>
      </c>
      <c r="F104" s="50">
        <v>0</v>
      </c>
      <c r="G104" s="50">
        <v>1</v>
      </c>
      <c r="H104" s="50">
        <v>1</v>
      </c>
      <c r="I104" s="50">
        <v>1</v>
      </c>
      <c r="J104" s="50">
        <v>1</v>
      </c>
      <c r="K104" s="50">
        <v>1</v>
      </c>
      <c r="L104" s="50">
        <v>1</v>
      </c>
      <c r="M104" s="50">
        <v>1</v>
      </c>
      <c r="N104" s="50">
        <v>1</v>
      </c>
      <c r="O104" s="50">
        <v>1</v>
      </c>
      <c r="P104" s="50">
        <v>1</v>
      </c>
      <c r="Q104" s="50">
        <v>1</v>
      </c>
      <c r="R104" s="50">
        <v>1</v>
      </c>
      <c r="S104" s="50">
        <f>IF($L$86&lt;$G$86,1,0)</f>
        <v>0</v>
      </c>
      <c r="T104" s="50">
        <v>0</v>
      </c>
      <c r="AO104" s="133" t="s">
        <v>668</v>
      </c>
      <c r="AP104" s="82"/>
      <c r="AQ104" s="82"/>
      <c r="AR104" s="82"/>
      <c r="AS104" s="82"/>
      <c r="AT104" s="82"/>
      <c r="AU104" s="82"/>
      <c r="AV104" s="82"/>
      <c r="AW104" s="82"/>
      <c r="AX104" s="82"/>
      <c r="AY104" s="82"/>
      <c r="AZ104" s="82"/>
      <c r="BA104" s="82"/>
      <c r="BB104" s="82"/>
      <c r="BC104" s="82"/>
      <c r="BD104" s="82"/>
      <c r="BE104" s="82"/>
      <c r="BF104" s="82"/>
    </row>
    <row r="105" spans="2:58">
      <c r="B105" s="71" t="s">
        <v>601</v>
      </c>
      <c r="D105" s="50">
        <v>0</v>
      </c>
      <c r="E105" s="50">
        <v>0</v>
      </c>
      <c r="F105" s="50">
        <v>0</v>
      </c>
      <c r="G105" s="50">
        <v>0</v>
      </c>
      <c r="H105" s="50">
        <v>0</v>
      </c>
      <c r="I105" s="50">
        <v>0</v>
      </c>
      <c r="J105" s="50">
        <v>0</v>
      </c>
      <c r="K105" s="50">
        <v>1</v>
      </c>
      <c r="L105" s="50">
        <v>1</v>
      </c>
      <c r="M105" s="50">
        <v>1</v>
      </c>
      <c r="N105" s="50">
        <v>1</v>
      </c>
      <c r="O105" s="50">
        <v>1</v>
      </c>
      <c r="P105" s="50">
        <v>1</v>
      </c>
      <c r="Q105" s="50">
        <v>1</v>
      </c>
      <c r="R105" s="50">
        <v>1</v>
      </c>
      <c r="S105" s="50">
        <f>IF($L$86&lt;$H$86,1,0)</f>
        <v>1</v>
      </c>
      <c r="T105" s="50">
        <v>0</v>
      </c>
      <c r="AO105" s="133"/>
      <c r="AP105" s="82"/>
      <c r="AQ105" s="82"/>
      <c r="AR105" s="82"/>
      <c r="AS105" s="82"/>
      <c r="AT105" s="82"/>
      <c r="AU105" s="82"/>
      <c r="AV105" s="82"/>
      <c r="AW105" s="82"/>
      <c r="AX105" s="82"/>
      <c r="AY105" s="82"/>
      <c r="AZ105" s="82"/>
      <c r="BA105" s="82"/>
      <c r="BB105" s="82"/>
      <c r="BC105" s="82"/>
      <c r="BD105" s="82"/>
      <c r="BE105" s="82"/>
      <c r="BF105" s="82"/>
    </row>
    <row r="106" spans="2:58">
      <c r="B106" s="71" t="s">
        <v>602</v>
      </c>
      <c r="D106" s="50">
        <v>0</v>
      </c>
      <c r="E106" s="50">
        <v>0</v>
      </c>
      <c r="F106" s="50">
        <v>0</v>
      </c>
      <c r="G106" s="50">
        <v>0</v>
      </c>
      <c r="H106" s="50">
        <v>0</v>
      </c>
      <c r="I106" s="50">
        <v>0</v>
      </c>
      <c r="J106" s="50">
        <v>0</v>
      </c>
      <c r="K106" s="50">
        <v>0</v>
      </c>
      <c r="L106" s="50">
        <v>0</v>
      </c>
      <c r="M106" s="50">
        <v>1</v>
      </c>
      <c r="N106" s="50">
        <v>1</v>
      </c>
      <c r="O106" s="50">
        <v>1</v>
      </c>
      <c r="P106" s="50">
        <v>1</v>
      </c>
      <c r="Q106" s="50">
        <v>1</v>
      </c>
      <c r="R106" s="50">
        <v>1</v>
      </c>
      <c r="S106" s="50">
        <f>IF($L$86&lt;$I$86,1,0)</f>
        <v>1</v>
      </c>
      <c r="T106" s="50">
        <v>0</v>
      </c>
      <c r="AO106" s="130" t="s">
        <v>609</v>
      </c>
      <c r="AP106" s="82" t="e" cm="1">
        <f t="array" ref="AP106">AP66-MIN(IF(ISNUMBER($AP$66:$BE$66),$AP$66:$BE$66))</f>
        <v>#VALUE!</v>
      </c>
      <c r="AQ106" s="82" t="e" cm="1">
        <f t="array" ref="AQ106">AQ66-MIN(IF(ISNUMBER($AP$66:$BE$66),$AP$66:$BE$66))</f>
        <v>#VALUE!</v>
      </c>
      <c r="AR106" s="82" cm="1">
        <f t="array" ref="AR106">AR66-MIN(IF(ISNUMBER($AP$66:$BE$66),$AP$66:$BE$66))</f>
        <v>709.10493100771055</v>
      </c>
      <c r="AS106" s="82" t="e" cm="1">
        <f t="array" ref="AS106">AS66-MIN(IF(ISNUMBER($AP$66:$BE$66),$AP$66:$BE$66))</f>
        <v>#VALUE!</v>
      </c>
      <c r="AT106" s="82" cm="1">
        <f t="array" ref="AT106">AT66-MIN(IF(ISNUMBER($AP$66:$BE$66),$AP$66:$BE$66))</f>
        <v>691.08907456762608</v>
      </c>
      <c r="AU106" s="82" t="e" cm="1">
        <f t="array" ref="AU106">AU66-MIN(IF(ISNUMBER($AP$66:$BE$66),$AP$66:$BE$66))</f>
        <v>#VALUE!</v>
      </c>
      <c r="AV106" s="82" cm="1">
        <f t="array" ref="AV106">AV66-MIN(IF(ISNUMBER($AP$66:$BE$66),$AP$66:$BE$66))</f>
        <v>2034.6129712383809</v>
      </c>
      <c r="AW106" s="82" t="e" cm="1">
        <f t="array" ref="AW106">AW66-MIN(IF(ISNUMBER($AP$66:$BE$66),$AP$66:$BE$66))</f>
        <v>#VALUE!</v>
      </c>
      <c r="AX106" s="82" cm="1">
        <f t="array" ref="AX106">AX66-MIN(IF(ISNUMBER($AP$66:$BE$66),$AP$66:$BE$66))</f>
        <v>691.08907456762608</v>
      </c>
      <c r="AY106" s="82" t="e" cm="1">
        <f t="array" ref="AY106">AY66-MIN(IF(ISNUMBER($AP$66:$BE$66),$AP$66:$BE$66))</f>
        <v>#VALUE!</v>
      </c>
      <c r="AZ106" s="82" cm="1">
        <f t="array" ref="AZ106">AZ66-MIN(IF(ISNUMBER($AP$66:$BE$66),$AP$66:$BE$66))</f>
        <v>0</v>
      </c>
      <c r="BA106" s="82" t="e" cm="1">
        <f t="array" ref="BA106">BA66-MIN(IF(ISNUMBER($AP$66:$BE$66),$AP$66:$BE$66))</f>
        <v>#VALUE!</v>
      </c>
      <c r="BB106" s="82" cm="1">
        <f t="array" ref="BB106">BB66-MIN(IF(ISNUMBER($AP$66:$BE$66),$AP$66:$BE$66))</f>
        <v>1996.7023233591135</v>
      </c>
      <c r="BC106" s="82" t="e" cm="1">
        <f t="array" ref="BC106">BC66-MIN(IF(ISNUMBER($AP$66:$BE$66),$AP$66:$BE$66))</f>
        <v>#VALUE!</v>
      </c>
      <c r="BD106" s="82" cm="1">
        <f t="array" ref="BD106">BD66-MIN(IF(ISNUMBER($AP$66:$BE$66),$AP$66:$BE$66))</f>
        <v>2250.2512332430269</v>
      </c>
      <c r="BE106" s="82" cm="1">
        <f t="array" ref="BE106">BE66-MIN(IF(ISNUMBER($AP$66:$BE$66),$AP$66:$BE$66))</f>
        <v>526</v>
      </c>
      <c r="BF106" s="82" cm="1">
        <f t="array" ref="BF106">BF66-MIN(IF(ISNUMBER($AP$66:$BF$66),$AP$66:$BF$66))</f>
        <v>531.91563003832562</v>
      </c>
    </row>
    <row r="107" spans="2:58">
      <c r="B107" s="71" t="s">
        <v>603</v>
      </c>
      <c r="D107" s="50">
        <v>0</v>
      </c>
      <c r="E107" s="50">
        <v>0</v>
      </c>
      <c r="F107" s="50">
        <v>0</v>
      </c>
      <c r="G107" s="50">
        <v>0</v>
      </c>
      <c r="H107" s="50">
        <v>0</v>
      </c>
      <c r="I107" s="50">
        <v>0</v>
      </c>
      <c r="J107" s="50">
        <v>0</v>
      </c>
      <c r="K107" s="50">
        <v>0</v>
      </c>
      <c r="L107" s="50">
        <v>0</v>
      </c>
      <c r="M107" s="50">
        <v>0</v>
      </c>
      <c r="N107" s="50">
        <v>0</v>
      </c>
      <c r="O107" s="50">
        <v>1</v>
      </c>
      <c r="P107" s="50">
        <v>1</v>
      </c>
      <c r="Q107" s="50">
        <v>1</v>
      </c>
      <c r="R107" s="50">
        <v>1</v>
      </c>
      <c r="S107" s="50">
        <f>IF($L$86&lt;$J$86,1,0)</f>
        <v>0</v>
      </c>
      <c r="T107" s="50">
        <v>0</v>
      </c>
      <c r="AO107" s="130" t="s">
        <v>610</v>
      </c>
      <c r="AP107" s="82" t="e" cm="1">
        <f t="array" ref="AP107">AP67-MIN(IF(ISNUMBER($AP$66:$BE$66),$AP$66:$BE$66))</f>
        <v>#VALUE!</v>
      </c>
      <c r="AQ107" s="82" t="e" cm="1">
        <f t="array" ref="AQ107">AQ67-MIN(IF(ISNUMBER($AP$66:$BE$66),$AP$66:$BE$66))</f>
        <v>#VALUE!</v>
      </c>
      <c r="AR107" s="82" cm="1">
        <f t="array" ref="AR107">AR67-MIN(IF(ISNUMBER($AP$66:$BE$66),$AP$66:$BE$66))</f>
        <v>865.33486220508348</v>
      </c>
      <c r="AS107" s="82" t="e" cm="1">
        <f t="array" ref="AS107">AS67-MIN(IF(ISNUMBER($AP$66:$BE$66),$AP$66:$BE$66))</f>
        <v>#VALUE!</v>
      </c>
      <c r="AT107" s="82" cm="1">
        <f t="array" ref="AT107">AT67-MIN(IF(ISNUMBER($AP$66:$BE$66),$AP$66:$BE$66))</f>
        <v>847.31900576499538</v>
      </c>
      <c r="AU107" s="82" t="e" cm="1">
        <f t="array" ref="AU107">AU67-MIN(IF(ISNUMBER($AP$66:$BE$66),$AP$66:$BE$66))</f>
        <v>#VALUE!</v>
      </c>
      <c r="AV107" s="82" cm="1">
        <f t="array" ref="AV107">AV67-MIN(IF(ISNUMBER($AP$66:$BE$66),$AP$66:$BE$66))</f>
        <v>2190.8429024357501</v>
      </c>
      <c r="AW107" s="82" t="e" cm="1">
        <f t="array" ref="AW107">AW67-MIN(IF(ISNUMBER($AP$66:$BE$66),$AP$66:$BE$66))</f>
        <v>#VALUE!</v>
      </c>
      <c r="AX107" s="82" cm="1">
        <f t="array" ref="AX107">AX67-MIN(IF(ISNUMBER($AP$66:$BE$66),$AP$66:$BE$66))</f>
        <v>847.31900576499538</v>
      </c>
      <c r="AY107" s="82" t="e" cm="1">
        <f t="array" ref="AY107">AY67-MIN(IF(ISNUMBER($AP$66:$BE$66),$AP$66:$BE$66))</f>
        <v>#VALUE!</v>
      </c>
      <c r="AZ107" s="82" cm="1">
        <f t="array" ref="AZ107">AZ67-MIN(IF(ISNUMBER($AP$66:$BE$66),$AP$66:$BE$66))</f>
        <v>1254.7087841898647</v>
      </c>
      <c r="BA107" s="82" t="e" cm="1">
        <f t="array" ref="BA107">BA67-MIN(IF(ISNUMBER($AP$66:$BE$66),$AP$66:$BE$66))</f>
        <v>#VALUE!</v>
      </c>
      <c r="BB107" s="82" cm="1">
        <f t="array" ref="BB107">BB67-MIN(IF(ISNUMBER($AP$66:$BE$66),$AP$66:$BE$66))</f>
        <v>2152.9322545564828</v>
      </c>
      <c r="BC107" s="82" t="e" cm="1">
        <f t="array" ref="BC107">BC67-MIN(IF(ISNUMBER($AP$66:$BE$66),$AP$66:$BE$66))</f>
        <v>#VALUE!</v>
      </c>
      <c r="BD107" s="82" cm="1">
        <f t="array" ref="BD107">BD67-MIN(IF(ISNUMBER($AP$66:$BE$66),$AP$66:$BE$66))</f>
        <v>2406.4811644403999</v>
      </c>
      <c r="BE107" s="82" cm="1">
        <f t="array" ref="BE107">BE67-MIN(IF(ISNUMBER($AP$66:$BE$66),$AP$66:$BE$66))</f>
        <v>1699.2632402117415</v>
      </c>
      <c r="BF107" s="82" cm="1">
        <f t="array" ref="BF107">BF67-MIN(IF(ISNUMBER($AP$66:$BF$66),$AP$66:$BF$66))</f>
        <v>688.14556123569491</v>
      </c>
    </row>
    <row r="108" spans="2:58">
      <c r="B108" s="71" t="s">
        <v>604</v>
      </c>
      <c r="D108" s="50">
        <v>0</v>
      </c>
      <c r="E108" s="50">
        <v>0</v>
      </c>
      <c r="F108" s="50">
        <v>0</v>
      </c>
      <c r="G108" s="50">
        <v>0</v>
      </c>
      <c r="H108" s="50">
        <v>0</v>
      </c>
      <c r="I108" s="50">
        <v>0</v>
      </c>
      <c r="J108" s="50">
        <v>0</v>
      </c>
      <c r="K108" s="50">
        <v>0</v>
      </c>
      <c r="L108" s="50">
        <v>0</v>
      </c>
      <c r="M108" s="50">
        <v>0</v>
      </c>
      <c r="N108" s="50">
        <v>0</v>
      </c>
      <c r="O108" s="50">
        <v>0</v>
      </c>
      <c r="P108" s="50">
        <v>0</v>
      </c>
      <c r="Q108" s="50">
        <v>1</v>
      </c>
      <c r="R108" s="50">
        <v>1</v>
      </c>
      <c r="S108" s="50">
        <f>IF($L$86&lt;$K$86,1,0)</f>
        <v>0</v>
      </c>
      <c r="T108" s="50">
        <v>0</v>
      </c>
      <c r="AO108" s="130" t="s">
        <v>611</v>
      </c>
      <c r="AP108" s="82" t="e" cm="1">
        <f t="array" ref="AP108">AP68-MIN(IF(ISNUMBER($AP$66:$BE$66),$AP$66:$BE$66))</f>
        <v>#VALUE!</v>
      </c>
      <c r="AQ108" s="82" t="e" cm="1">
        <f t="array" ref="AQ108">AQ68-MIN(IF(ISNUMBER($AP$66:$BE$66),$AP$66:$BE$66))</f>
        <v>#VALUE!</v>
      </c>
      <c r="AR108" s="82" cm="1">
        <f t="array" ref="AR108">AR68-MIN(IF(ISNUMBER($AP$66:$BE$66),$AP$66:$BE$66))</f>
        <v>1021.5647934024528</v>
      </c>
      <c r="AS108" s="82" t="e" cm="1">
        <f t="array" ref="AS108">AS68-MIN(IF(ISNUMBER($AP$66:$BE$66),$AP$66:$BE$66))</f>
        <v>#VALUE!</v>
      </c>
      <c r="AT108" s="82" cm="1">
        <f t="array" ref="AT108">AT68-MIN(IF(ISNUMBER($AP$66:$BE$66),$AP$66:$BE$66))</f>
        <v>1003.5489369623683</v>
      </c>
      <c r="AU108" s="82" t="e" cm="1">
        <f t="array" ref="AU108">AU68-MIN(IF(ISNUMBER($AP$66:$BE$66),$AP$66:$BE$66))</f>
        <v>#VALUE!</v>
      </c>
      <c r="AV108" s="82" cm="1">
        <f t="array" ref="AV108">AV68-MIN(IF(ISNUMBER($AP$66:$BE$66),$AP$66:$BE$66))</f>
        <v>2347.0728336331194</v>
      </c>
      <c r="AW108" s="82" t="e" cm="1">
        <f t="array" ref="AW108">AW68-MIN(IF(ISNUMBER($AP$66:$BE$66),$AP$66:$BE$66))</f>
        <v>#VALUE!</v>
      </c>
      <c r="AX108" s="82" cm="1">
        <f t="array" ref="AX108">AX68-MIN(IF(ISNUMBER($AP$66:$BE$66),$AP$66:$BE$66))</f>
        <v>1003.5489369623683</v>
      </c>
      <c r="AY108" s="82" t="e" cm="1">
        <f t="array" ref="AY108">AY68-MIN(IF(ISNUMBER($AP$66:$BE$66),$AP$66:$BE$66))</f>
        <v>#VALUE!</v>
      </c>
      <c r="AZ108" s="82" cm="1">
        <f t="array" ref="AZ108">AZ68-MIN(IF(ISNUMBER($AP$66:$BE$66),$AP$66:$BE$66))</f>
        <v>1410.9387153872376</v>
      </c>
      <c r="BA108" s="82" t="e" cm="1">
        <f t="array" ref="BA108">BA68-MIN(IF(ISNUMBER($AP$66:$BE$66),$AP$66:$BE$66))</f>
        <v>#VALUE!</v>
      </c>
      <c r="BB108" s="82" cm="1">
        <f t="array" ref="BB108">BB68-MIN(IF(ISNUMBER($AP$66:$BE$66),$AP$66:$BE$66))</f>
        <v>2309.1621857538557</v>
      </c>
      <c r="BC108" s="82" t="e" cm="1">
        <f t="array" ref="BC108">BC68-MIN(IF(ISNUMBER($AP$66:$BE$66),$AP$66:$BE$66))</f>
        <v>#VALUE!</v>
      </c>
      <c r="BD108" s="82" cm="1">
        <f t="array" ref="BD108">BD68-MIN(IF(ISNUMBER($AP$66:$BE$66),$AP$66:$BE$66))</f>
        <v>2562.7110956377692</v>
      </c>
      <c r="BE108" s="82" cm="1">
        <f t="array" ref="BE108">BE68-MIN(IF(ISNUMBER($AP$66:$BE$66),$AP$66:$BE$66))</f>
        <v>1855.4931714091108</v>
      </c>
      <c r="BF108" s="82" cm="1">
        <f t="array" ref="BF108">BF68-MIN(IF(ISNUMBER($AP$66:$BF$66),$AP$66:$BF$66))</f>
        <v>844.37549243306785</v>
      </c>
    </row>
    <row r="109" spans="2:58">
      <c r="B109" s="71" t="s">
        <v>791</v>
      </c>
      <c r="D109" s="50">
        <v>0</v>
      </c>
      <c r="E109" s="50">
        <v>0</v>
      </c>
      <c r="F109" s="50">
        <v>0</v>
      </c>
      <c r="G109" s="50">
        <v>0</v>
      </c>
      <c r="H109" s="50">
        <v>0</v>
      </c>
      <c r="I109" s="50">
        <v>0</v>
      </c>
      <c r="J109" s="50">
        <v>0</v>
      </c>
      <c r="K109" s="50">
        <v>0</v>
      </c>
      <c r="L109" s="50">
        <v>0</v>
      </c>
      <c r="M109" s="50">
        <v>0</v>
      </c>
      <c r="N109" s="50">
        <v>0</v>
      </c>
      <c r="O109" s="50">
        <v>0</v>
      </c>
      <c r="P109" s="50">
        <v>0</v>
      </c>
      <c r="Q109" s="50">
        <v>0</v>
      </c>
      <c r="R109" s="50">
        <v>0</v>
      </c>
      <c r="S109" s="50">
        <v>0</v>
      </c>
      <c r="T109" s="50">
        <v>1</v>
      </c>
      <c r="AO109" s="130" t="s">
        <v>612</v>
      </c>
      <c r="AP109" s="82" t="e" cm="1">
        <f t="array" ref="AP109">AP69-MIN(IF(ISNUMBER($AP$66:$BE$66),$AP$66:$BE$66))</f>
        <v>#VALUE!</v>
      </c>
      <c r="AQ109" s="82" t="e" cm="1">
        <f t="array" ref="AQ109">AQ69-MIN(IF(ISNUMBER($AP$66:$BE$66),$AP$66:$BE$66))</f>
        <v>#VALUE!</v>
      </c>
      <c r="AR109" s="82" cm="1">
        <f t="array" ref="AR109">AR69-MIN(IF(ISNUMBER($AP$66:$BE$66),$AP$66:$BE$66))</f>
        <v>1177.7947245998221</v>
      </c>
      <c r="AS109" s="82" t="e" cm="1">
        <f t="array" ref="AS109">AS69-MIN(IF(ISNUMBER($AP$66:$BE$66),$AP$66:$BE$66))</f>
        <v>#VALUE!</v>
      </c>
      <c r="AT109" s="82" cm="1">
        <f t="array" ref="AT109">AT69-MIN(IF(ISNUMBER($AP$66:$BE$66),$AP$66:$BE$66))</f>
        <v>1159.7788681597376</v>
      </c>
      <c r="AU109" s="82" t="e" cm="1">
        <f t="array" ref="AU109">AU69-MIN(IF(ISNUMBER($AP$66:$BE$66),$AP$66:$BE$66))</f>
        <v>#VALUE!</v>
      </c>
      <c r="AV109" s="82" cm="1">
        <f t="array" ref="AV109">AV69-MIN(IF(ISNUMBER($AP$66:$BE$66),$AP$66:$BE$66))</f>
        <v>2503.3027648304924</v>
      </c>
      <c r="AW109" s="82" t="e" cm="1">
        <f t="array" ref="AW109">AW69-MIN(IF(ISNUMBER($AP$66:$BE$66),$AP$66:$BE$66))</f>
        <v>#VALUE!</v>
      </c>
      <c r="AX109" s="82" cm="1">
        <f t="array" ref="AX109">AX69-MIN(IF(ISNUMBER($AP$66:$BE$66),$AP$66:$BE$66))</f>
        <v>1159.7788681597376</v>
      </c>
      <c r="AY109" s="82" t="e" cm="1">
        <f t="array" ref="AY109">AY69-MIN(IF(ISNUMBER($AP$66:$BE$66),$AP$66:$BE$66))</f>
        <v>#VALUE!</v>
      </c>
      <c r="AZ109" s="82" cm="1">
        <f t="array" ref="AZ109">AZ69-MIN(IF(ISNUMBER($AP$66:$BE$66),$AP$66:$BE$66))</f>
        <v>1567.1686465846069</v>
      </c>
      <c r="BA109" s="82" t="e" cm="1">
        <f t="array" ref="BA109">BA69-MIN(IF(ISNUMBER($AP$66:$BE$66),$AP$66:$BE$66))</f>
        <v>#VALUE!</v>
      </c>
      <c r="BB109" s="82" cm="1">
        <f t="array" ref="BB109">BB69-MIN(IF(ISNUMBER($AP$66:$BE$66),$AP$66:$BE$66))</f>
        <v>2465.392116951225</v>
      </c>
      <c r="BC109" s="82" t="e" cm="1">
        <f t="array" ref="BC109">BC69-MIN(IF(ISNUMBER($AP$66:$BE$66),$AP$66:$BE$66))</f>
        <v>#VALUE!</v>
      </c>
      <c r="BD109" s="82" cm="1">
        <f t="array" ref="BD109">BD69-MIN(IF(ISNUMBER($AP$66:$BE$66),$AP$66:$BE$66))</f>
        <v>2718.9410268351385</v>
      </c>
      <c r="BE109" s="82" cm="1">
        <f t="array" ref="BE109">BE69-MIN(IF(ISNUMBER($AP$66:$BE$66),$AP$66:$BE$66))</f>
        <v>2011.7231026064801</v>
      </c>
      <c r="BF109" s="82" cm="1">
        <f t="array" ref="BF109">BF69-MIN(IF(ISNUMBER($AP$66:$BF$66),$AP$66:$BF$66))</f>
        <v>1000.6054236304371</v>
      </c>
    </row>
    <row r="110" spans="2:58">
      <c r="B110" s="41" t="s">
        <v>724</v>
      </c>
      <c r="AO110" s="130" t="s">
        <v>613</v>
      </c>
      <c r="AP110" s="82" t="e" cm="1">
        <f t="array" ref="AP110">AP70-MIN(IF(ISNUMBER($AP$66:$BE$66),$AP$66:$BE$66))</f>
        <v>#VALUE!</v>
      </c>
      <c r="AQ110" s="82" t="e" cm="1">
        <f t="array" ref="AQ110">AQ70-MIN(IF(ISNUMBER($AP$66:$BE$66),$AP$66:$BE$66))</f>
        <v>#VALUE!</v>
      </c>
      <c r="AR110" s="82" cm="1">
        <f t="array" ref="AR110">AR70-MIN(IF(ISNUMBER($AP$66:$BE$66),$AP$66:$BE$66))</f>
        <v>1334.0246557971914</v>
      </c>
      <c r="AS110" s="82" t="e" cm="1">
        <f t="array" ref="AS110">AS70-MIN(IF(ISNUMBER($AP$66:$BE$66),$AP$66:$BE$66))</f>
        <v>#VALUE!</v>
      </c>
      <c r="AT110" s="82" cm="1">
        <f t="array" ref="AT110">AT70-MIN(IF(ISNUMBER($AP$66:$BE$66),$AP$66:$BE$66))</f>
        <v>1316.0087993571069</v>
      </c>
      <c r="AU110" s="82" t="e" cm="1">
        <f t="array" ref="AU110">AU70-MIN(IF(ISNUMBER($AP$66:$BE$66),$AP$66:$BE$66))</f>
        <v>#VALUE!</v>
      </c>
      <c r="AV110" s="82" cm="1">
        <f t="array" ref="AV110">AV70-MIN(IF(ISNUMBER($AP$66:$BE$66),$AP$66:$BE$66))</f>
        <v>2659.5326960278617</v>
      </c>
      <c r="AW110" s="82" t="e" cm="1">
        <f t="array" ref="AW110">AW70-MIN(IF(ISNUMBER($AP$66:$BE$66),$AP$66:$BE$66))</f>
        <v>#VALUE!</v>
      </c>
      <c r="AX110" s="82" cm="1">
        <f t="array" ref="AX110">AX70-MIN(IF(ISNUMBER($AP$66:$BE$66),$AP$66:$BE$66))</f>
        <v>1316.0087993571069</v>
      </c>
      <c r="AY110" s="82" t="e" cm="1">
        <f t="array" ref="AY110">AY70-MIN(IF(ISNUMBER($AP$66:$BE$66),$AP$66:$BE$66))</f>
        <v>#VALUE!</v>
      </c>
      <c r="AZ110" s="82" cm="1">
        <f t="array" ref="AZ110">AZ70-MIN(IF(ISNUMBER($AP$66:$BE$66),$AP$66:$BE$66))</f>
        <v>1723.3985777819762</v>
      </c>
      <c r="BA110" s="82" t="e" cm="1">
        <f t="array" ref="BA110">BA70-MIN(IF(ISNUMBER($AP$66:$BE$66),$AP$66:$BE$66))</f>
        <v>#VALUE!</v>
      </c>
      <c r="BB110" s="82" cm="1">
        <f t="array" ref="BB110">BB70-MIN(IF(ISNUMBER($AP$66:$BE$66),$AP$66:$BE$66))</f>
        <v>2621.6220481485943</v>
      </c>
      <c r="BC110" s="82" t="e" cm="1">
        <f t="array" ref="BC110">BC70-MIN(IF(ISNUMBER($AP$66:$BE$66),$AP$66:$BE$66))</f>
        <v>#VALUE!</v>
      </c>
      <c r="BD110" s="82" cm="1">
        <f t="array" ref="BD110">BD70-MIN(IF(ISNUMBER($AP$66:$BE$66),$AP$66:$BE$66))</f>
        <v>2875.1709580325114</v>
      </c>
      <c r="BE110" s="82" cm="1">
        <f t="array" ref="BE110">BE70-MIN(IF(ISNUMBER($AP$66:$BE$66),$AP$66:$BE$66))</f>
        <v>2167.953033803853</v>
      </c>
      <c r="BF110" s="82" cm="1">
        <f t="array" ref="BF110">BF70-MIN(IF(ISNUMBER($AP$66:$BF$66),$AP$66:$BF$66))</f>
        <v>1156.8353548278064</v>
      </c>
    </row>
    <row r="111" spans="2:58">
      <c r="B111" s="71" t="s">
        <v>606</v>
      </c>
      <c r="D111" s="50">
        <v>1</v>
      </c>
      <c r="E111" s="50">
        <v>1</v>
      </c>
      <c r="F111" s="50">
        <v>1</v>
      </c>
      <c r="G111" s="50">
        <v>1</v>
      </c>
      <c r="H111" s="50">
        <v>1</v>
      </c>
      <c r="I111" s="50">
        <v>1</v>
      </c>
      <c r="J111" s="50">
        <v>1</v>
      </c>
      <c r="K111" s="50">
        <v>1</v>
      </c>
      <c r="L111" s="50">
        <v>1</v>
      </c>
      <c r="M111" s="50">
        <v>1</v>
      </c>
      <c r="N111" s="50">
        <v>1</v>
      </c>
      <c r="O111" s="50">
        <v>1</v>
      </c>
      <c r="P111" s="50">
        <v>1</v>
      </c>
      <c r="Q111" s="50">
        <v>1</v>
      </c>
      <c r="R111" s="50">
        <v>1</v>
      </c>
      <c r="S111" s="50">
        <v>1</v>
      </c>
      <c r="T111" s="50">
        <v>1</v>
      </c>
      <c r="AO111" s="130" t="s">
        <v>614</v>
      </c>
      <c r="AP111" s="82" t="e" cm="1">
        <f t="array" ref="AP111">AP71-MIN(IF(ISNUMBER($AP$66:$BE$66),$AP$66:$BE$66))</f>
        <v>#VALUE!</v>
      </c>
      <c r="AQ111" s="82" t="e" cm="1">
        <f t="array" ref="AQ111">AQ71-MIN(IF(ISNUMBER($AP$66:$BE$66),$AP$66:$BE$66))</f>
        <v>#VALUE!</v>
      </c>
      <c r="AR111" s="82" cm="1">
        <f t="array" ref="AR111">AR71-MIN(IF(ISNUMBER($AP$66:$BE$66),$AP$66:$BE$66))</f>
        <v>1490.2545869945643</v>
      </c>
      <c r="AS111" s="82" t="e" cm="1">
        <f t="array" ref="AS111">AS71-MIN(IF(ISNUMBER($AP$66:$BE$66),$AP$66:$BE$66))</f>
        <v>#VALUE!</v>
      </c>
      <c r="AT111" s="82" cm="1">
        <f t="array" ref="AT111">AT71-MIN(IF(ISNUMBER($AP$66:$BE$66),$AP$66:$BE$66))</f>
        <v>1472.2387305544762</v>
      </c>
      <c r="AU111" s="82" t="e" cm="1">
        <f t="array" ref="AU111">AU71-MIN(IF(ISNUMBER($AP$66:$BE$66),$AP$66:$BE$66))</f>
        <v>#VALUE!</v>
      </c>
      <c r="AV111" s="82" cm="1">
        <f t="array" ref="AV111">AV71-MIN(IF(ISNUMBER($AP$66:$BE$66),$AP$66:$BE$66))</f>
        <v>2815.762627225231</v>
      </c>
      <c r="AW111" s="82" t="e" cm="1">
        <f t="array" ref="AW111">AW71-MIN(IF(ISNUMBER($AP$66:$BE$66),$AP$66:$BE$66))</f>
        <v>#VALUE!</v>
      </c>
      <c r="AX111" s="82" cm="1">
        <f t="array" ref="AX111">AX71-MIN(IF(ISNUMBER($AP$66:$BE$66),$AP$66:$BE$66))</f>
        <v>1472.2387305544762</v>
      </c>
      <c r="AY111" s="82" t="e" cm="1">
        <f t="array" ref="AY111">AY71-MIN(IF(ISNUMBER($AP$66:$BE$66),$AP$66:$BE$66))</f>
        <v>#VALUE!</v>
      </c>
      <c r="AZ111" s="82" cm="1">
        <f t="array" ref="AZ111">AZ71-MIN(IF(ISNUMBER($AP$66:$BE$66),$AP$66:$BE$66))</f>
        <v>1879.6285089793455</v>
      </c>
      <c r="BA111" s="82" t="e" cm="1">
        <f t="array" ref="BA111">BA71-MIN(IF(ISNUMBER($AP$66:$BE$66),$AP$66:$BE$66))</f>
        <v>#VALUE!</v>
      </c>
      <c r="BB111" s="82" cm="1">
        <f t="array" ref="BB111">BB71-MIN(IF(ISNUMBER($AP$66:$BE$66),$AP$66:$BE$66))</f>
        <v>2777.8519793459636</v>
      </c>
      <c r="BC111" s="82" t="e" cm="1">
        <f t="array" ref="BC111">BC71-MIN(IF(ISNUMBER($AP$66:$BE$66),$AP$66:$BE$66))</f>
        <v>#VALUE!</v>
      </c>
      <c r="BD111" s="82" cm="1">
        <f t="array" ref="BD111">BD71-MIN(IF(ISNUMBER($AP$66:$BE$66),$AP$66:$BE$66))</f>
        <v>3031.4008892298807</v>
      </c>
      <c r="BE111" s="82" cm="1">
        <f t="array" ref="BE111">BE71-MIN(IF(ISNUMBER($AP$66:$BE$66),$AP$66:$BE$66))</f>
        <v>2324.1829650012223</v>
      </c>
      <c r="BF111" s="82" cm="1">
        <f t="array" ref="BF111">BF71-MIN(IF(ISNUMBER($AP$66:$BF$66),$AP$66:$BF$66))</f>
        <v>1313.0652860251794</v>
      </c>
    </row>
    <row r="112" spans="2:58">
      <c r="B112" s="71" t="s">
        <v>607</v>
      </c>
      <c r="D112" s="50">
        <f>IF(D100="Gas",0,1)</f>
        <v>0</v>
      </c>
      <c r="E112" s="50">
        <f t="shared" ref="E112:T112" si="41">IF(E100="Gas",0,1)</f>
        <v>0</v>
      </c>
      <c r="F112" s="50">
        <f t="shared" si="41"/>
        <v>1</v>
      </c>
      <c r="G112" s="50">
        <f t="shared" si="41"/>
        <v>0</v>
      </c>
      <c r="H112" s="50">
        <f t="shared" si="41"/>
        <v>1</v>
      </c>
      <c r="I112" s="50">
        <f t="shared" si="41"/>
        <v>0</v>
      </c>
      <c r="J112" s="50">
        <f t="shared" si="41"/>
        <v>1</v>
      </c>
      <c r="K112" s="50">
        <f t="shared" si="41"/>
        <v>0</v>
      </c>
      <c r="L112" s="50">
        <f t="shared" si="41"/>
        <v>1</v>
      </c>
      <c r="M112" s="50">
        <f t="shared" si="41"/>
        <v>0</v>
      </c>
      <c r="N112" s="50">
        <f t="shared" si="41"/>
        <v>1</v>
      </c>
      <c r="O112" s="50">
        <f t="shared" si="41"/>
        <v>0</v>
      </c>
      <c r="P112" s="50">
        <f t="shared" si="41"/>
        <v>1</v>
      </c>
      <c r="Q112" s="50">
        <f t="shared" si="41"/>
        <v>0</v>
      </c>
      <c r="R112" s="50">
        <f t="shared" si="41"/>
        <v>1</v>
      </c>
      <c r="S112" s="50">
        <f t="shared" si="41"/>
        <v>1</v>
      </c>
      <c r="T112" s="50">
        <f t="shared" si="41"/>
        <v>1</v>
      </c>
      <c r="AO112" s="130" t="s">
        <v>615</v>
      </c>
      <c r="AP112" s="82" t="e" cm="1">
        <f t="array" ref="AP112">AP72-MIN(IF(ISNUMBER($AP$66:$BE$66),$AP$66:$BE$66))</f>
        <v>#VALUE!</v>
      </c>
      <c r="AQ112" s="82" t="e" cm="1">
        <f t="array" ref="AQ112">AQ72-MIN(IF(ISNUMBER($AP$66:$BE$66),$AP$66:$BE$66))</f>
        <v>#VALUE!</v>
      </c>
      <c r="AR112" s="82" cm="1">
        <f t="array" ref="AR112">AR72-MIN(IF(ISNUMBER($AP$66:$BE$66),$AP$66:$BE$66))</f>
        <v>2271.4042429814144</v>
      </c>
      <c r="AS112" s="82" t="e" cm="1">
        <f t="array" ref="AS112">AS72-MIN(IF(ISNUMBER($AP$66:$BE$66),$AP$66:$BE$66))</f>
        <v>#VALUE!</v>
      </c>
      <c r="AT112" s="82" cm="1">
        <f t="array" ref="AT112">AT72-MIN(IF(ISNUMBER($AP$66:$BE$66),$AP$66:$BE$66))</f>
        <v>2253.38838654133</v>
      </c>
      <c r="AU112" s="82" t="e" cm="1">
        <f t="array" ref="AU112">AU72-MIN(IF(ISNUMBER($AP$66:$BE$66),$AP$66:$BE$66))</f>
        <v>#VALUE!</v>
      </c>
      <c r="AV112" s="82" cm="1">
        <f t="array" ref="AV112">AV72-MIN(IF(ISNUMBER($AP$66:$BE$66),$AP$66:$BE$66))</f>
        <v>3596.9122832120847</v>
      </c>
      <c r="AW112" s="82" t="e" cm="1">
        <f t="array" ref="AW112">AW72-MIN(IF(ISNUMBER($AP$66:$BE$66),$AP$66:$BE$66))</f>
        <v>#VALUE!</v>
      </c>
      <c r="AX112" s="82" cm="1">
        <f t="array" ref="AX112">AX72-MIN(IF(ISNUMBER($AP$66:$BE$66),$AP$66:$BE$66))</f>
        <v>2253.38838654133</v>
      </c>
      <c r="AY112" s="82" t="e" cm="1">
        <f t="array" ref="AY112">AY72-MIN(IF(ISNUMBER($AP$66:$BE$66),$AP$66:$BE$66))</f>
        <v>#VALUE!</v>
      </c>
      <c r="AZ112" s="82" cm="1">
        <f t="array" ref="AZ112">AZ72-MIN(IF(ISNUMBER($AP$66:$BE$66),$AP$66:$BE$66))</f>
        <v>2660.7781649661993</v>
      </c>
      <c r="BA112" s="82" t="e" cm="1">
        <f t="array" ref="BA112">BA72-MIN(IF(ISNUMBER($AP$66:$BE$66),$AP$66:$BE$66))</f>
        <v>#VALUE!</v>
      </c>
      <c r="BB112" s="82" cm="1">
        <f t="array" ref="BB112">BB72-MIN(IF(ISNUMBER($AP$66:$BE$66),$AP$66:$BE$66))</f>
        <v>3559.0016353328174</v>
      </c>
      <c r="BC112" s="82" t="e" cm="1">
        <f t="array" ref="BC112">BC72-MIN(IF(ISNUMBER($AP$66:$BE$66),$AP$66:$BE$66))</f>
        <v>#VALUE!</v>
      </c>
      <c r="BD112" s="82" cm="1">
        <f t="array" ref="BD112">BD72-MIN(IF(ISNUMBER($AP$66:$BE$66),$AP$66:$BE$66))</f>
        <v>3812.5505452167308</v>
      </c>
      <c r="BE112" s="82" cm="1">
        <f t="array" ref="BE112">BE72-MIN(IF(ISNUMBER($AP$66:$BE$66),$AP$66:$BE$66))</f>
        <v>3105.3326209880724</v>
      </c>
      <c r="BF112" s="82" cm="1">
        <f t="array" ref="BF112">BF72-MIN(IF(ISNUMBER($AP$66:$BF$66),$AP$66:$BF$66))</f>
        <v>2094.2149420120295</v>
      </c>
    </row>
    <row r="113" spans="2:20">
      <c r="B113" s="41" t="s">
        <v>725</v>
      </c>
    </row>
    <row r="114" spans="2:20">
      <c r="B114" s="76" t="s">
        <v>618</v>
      </c>
      <c r="C114" t="str">
        <f>INPUT!C19</f>
        <v>No specific fabric standard</v>
      </c>
      <c r="D114" s="50">
        <f>VLOOKUP($C$114,$B$103:$T$109,COLUMN(C114),FALSE)</f>
        <v>1</v>
      </c>
      <c r="E114" s="50">
        <f t="shared" ref="E114:T114" si="42">VLOOKUP($C$114,$B$103:$T$109,COLUMN(D114),FALSE)</f>
        <v>1</v>
      </c>
      <c r="F114" s="50">
        <f t="shared" si="42"/>
        <v>1</v>
      </c>
      <c r="G114" s="50">
        <f t="shared" si="42"/>
        <v>1</v>
      </c>
      <c r="H114" s="50">
        <f t="shared" si="42"/>
        <v>1</v>
      </c>
      <c r="I114" s="50">
        <f t="shared" si="42"/>
        <v>1</v>
      </c>
      <c r="J114" s="50">
        <f t="shared" si="42"/>
        <v>1</v>
      </c>
      <c r="K114" s="50">
        <f t="shared" si="42"/>
        <v>1</v>
      </c>
      <c r="L114" s="50">
        <f t="shared" si="42"/>
        <v>1</v>
      </c>
      <c r="M114" s="50">
        <f t="shared" si="42"/>
        <v>1</v>
      </c>
      <c r="N114" s="50">
        <f t="shared" si="42"/>
        <v>1</v>
      </c>
      <c r="O114" s="50">
        <f t="shared" si="42"/>
        <v>1</v>
      </c>
      <c r="P114" s="50">
        <f t="shared" si="42"/>
        <v>1</v>
      </c>
      <c r="Q114" s="50">
        <f t="shared" si="42"/>
        <v>1</v>
      </c>
      <c r="R114" s="50">
        <f t="shared" si="42"/>
        <v>1</v>
      </c>
      <c r="S114" s="50">
        <f t="shared" si="42"/>
        <v>1</v>
      </c>
      <c r="T114" s="50">
        <f t="shared" si="42"/>
        <v>0</v>
      </c>
    </row>
    <row r="115" spans="2:20">
      <c r="B115" s="76" t="s">
        <v>619</v>
      </c>
      <c r="C115" t="str">
        <f>INPUT!C20</f>
        <v>Gas Possible</v>
      </c>
      <c r="D115" s="50">
        <f>VLOOKUP($C$115,$B$111:$T$112,COLUMN(C115),FALSE)</f>
        <v>1</v>
      </c>
      <c r="E115" s="50">
        <f t="shared" ref="E115:T115" si="43">VLOOKUP($C$115,$B$111:$T$112,COLUMN(D115),FALSE)</f>
        <v>1</v>
      </c>
      <c r="F115" s="50">
        <f t="shared" si="43"/>
        <v>1</v>
      </c>
      <c r="G115" s="50">
        <f t="shared" si="43"/>
        <v>1</v>
      </c>
      <c r="H115" s="50">
        <f t="shared" si="43"/>
        <v>1</v>
      </c>
      <c r="I115" s="50">
        <f t="shared" si="43"/>
        <v>1</v>
      </c>
      <c r="J115" s="50">
        <f t="shared" si="43"/>
        <v>1</v>
      </c>
      <c r="K115" s="50">
        <f t="shared" si="43"/>
        <v>1</v>
      </c>
      <c r="L115" s="50">
        <f t="shared" si="43"/>
        <v>1</v>
      </c>
      <c r="M115" s="50">
        <f t="shared" si="43"/>
        <v>1</v>
      </c>
      <c r="N115" s="50">
        <f t="shared" si="43"/>
        <v>1</v>
      </c>
      <c r="O115" s="50">
        <f t="shared" si="43"/>
        <v>1</v>
      </c>
      <c r="P115" s="50">
        <f t="shared" si="43"/>
        <v>1</v>
      </c>
      <c r="Q115" s="50">
        <f t="shared" si="43"/>
        <v>1</v>
      </c>
      <c r="R115" s="50">
        <f t="shared" si="43"/>
        <v>1</v>
      </c>
      <c r="S115" s="50">
        <f t="shared" si="43"/>
        <v>1</v>
      </c>
      <c r="T115" s="50">
        <f t="shared" si="43"/>
        <v>1</v>
      </c>
    </row>
    <row r="116" spans="2:20">
      <c r="B116" s="76" t="s">
        <v>726</v>
      </c>
      <c r="D116" s="50">
        <f>IF(AND(D114=1,D115=1),1,0)</f>
        <v>1</v>
      </c>
      <c r="E116" s="50">
        <f t="shared" ref="E116:T116" si="44">IF(AND(E114=1,E115=1),1,0)</f>
        <v>1</v>
      </c>
      <c r="F116" s="50">
        <f t="shared" si="44"/>
        <v>1</v>
      </c>
      <c r="G116" s="50">
        <f t="shared" si="44"/>
        <v>1</v>
      </c>
      <c r="H116" s="50">
        <f t="shared" si="44"/>
        <v>1</v>
      </c>
      <c r="I116" s="50">
        <f t="shared" si="44"/>
        <v>1</v>
      </c>
      <c r="J116" s="50">
        <f t="shared" si="44"/>
        <v>1</v>
      </c>
      <c r="K116" s="50">
        <f t="shared" si="44"/>
        <v>1</v>
      </c>
      <c r="L116" s="50">
        <f t="shared" si="44"/>
        <v>1</v>
      </c>
      <c r="M116" s="50">
        <f t="shared" si="44"/>
        <v>1</v>
      </c>
      <c r="N116" s="50">
        <f t="shared" si="44"/>
        <v>1</v>
      </c>
      <c r="O116" s="50">
        <f t="shared" si="44"/>
        <v>1</v>
      </c>
      <c r="P116" s="50">
        <f t="shared" si="44"/>
        <v>1</v>
      </c>
      <c r="Q116" s="50">
        <f t="shared" si="44"/>
        <v>1</v>
      </c>
      <c r="R116" s="50">
        <f t="shared" si="44"/>
        <v>1</v>
      </c>
      <c r="S116" s="50">
        <f t="shared" si="44"/>
        <v>1</v>
      </c>
      <c r="T116" s="50">
        <f t="shared" si="44"/>
        <v>0</v>
      </c>
    </row>
    <row r="117" spans="2:20">
      <c r="B117" s="41" t="s">
        <v>727</v>
      </c>
    </row>
    <row r="118" spans="2:20">
      <c r="B118" s="71" t="s">
        <v>593</v>
      </c>
      <c r="C118" t="str">
        <f>INPUT!C18</f>
        <v>FHS</v>
      </c>
    </row>
    <row r="119" spans="2:20">
      <c r="B119" s="76" t="s">
        <v>620</v>
      </c>
      <c r="C119" t="str">
        <f>INPUT!C21</f>
        <v>Reduce Part L regulated: 30%</v>
      </c>
    </row>
    <row r="120" spans="2:20" ht="24.75" customHeight="1">
      <c r="B120" s="76" t="s">
        <v>728</v>
      </c>
      <c r="C120" s="11" t="s">
        <v>324</v>
      </c>
      <c r="D120" s="153" t="str">
        <f>IF($C$118="Part L 2021",VLOOKUP($C$119,$C$40:$T$46,COLUMN(D120)-2),VLOOKUP($C$119,$C$47:$T$53,COLUMN(D120)-2))</f>
        <v>Not Possible</v>
      </c>
      <c r="E120" s="153" t="str">
        <f t="shared" ref="E120:T120" si="45">IF($C$118="Part L 2021",VLOOKUP($C$119,$C$40:$T$46,COLUMN(E120)-2),VLOOKUP($C$119,$C$47:$T$53,COLUMN(E120)-2))</f>
        <v>Not Possible</v>
      </c>
      <c r="F120" s="153">
        <f t="shared" si="45"/>
        <v>1177.7947245998221</v>
      </c>
      <c r="G120" s="153" t="str">
        <f t="shared" si="45"/>
        <v>Not Possible</v>
      </c>
      <c r="H120" s="153">
        <f t="shared" si="45"/>
        <v>1159.7788681597376</v>
      </c>
      <c r="I120" s="153" t="str">
        <f t="shared" si="45"/>
        <v>Not Possible</v>
      </c>
      <c r="J120" s="153">
        <f t="shared" si="45"/>
        <v>2503.3027648304924</v>
      </c>
      <c r="K120" s="153" t="str">
        <f t="shared" si="45"/>
        <v>Not Possible</v>
      </c>
      <c r="L120" s="153">
        <f t="shared" si="45"/>
        <v>1159.7788681597376</v>
      </c>
      <c r="M120" s="153" t="str">
        <f t="shared" si="45"/>
        <v>Not Possible</v>
      </c>
      <c r="N120" s="153">
        <f t="shared" si="45"/>
        <v>1567.1686465846069</v>
      </c>
      <c r="O120" s="153" t="str">
        <f t="shared" si="45"/>
        <v>Not Possible</v>
      </c>
      <c r="P120" s="153">
        <f t="shared" si="45"/>
        <v>2465.392116951225</v>
      </c>
      <c r="Q120" s="153" t="str">
        <f t="shared" si="45"/>
        <v>Not Possible</v>
      </c>
      <c r="R120" s="153">
        <f t="shared" si="45"/>
        <v>2718.9410268351385</v>
      </c>
      <c r="S120" s="153">
        <f t="shared" si="45"/>
        <v>2011.7231026064801</v>
      </c>
      <c r="T120" s="153">
        <f t="shared" si="45"/>
        <v>1000.6054236304371</v>
      </c>
    </row>
    <row r="121" spans="2:20">
      <c r="B121" s="76" t="s">
        <v>729</v>
      </c>
      <c r="D121" s="153" t="str">
        <f>IF(D116=1,D120,"Not Possible")</f>
        <v>Not Possible</v>
      </c>
      <c r="E121" s="153" t="str">
        <f t="shared" ref="E121:T121" si="46">IF(E116=1,E120,"Not Possible")</f>
        <v>Not Possible</v>
      </c>
      <c r="F121" s="153">
        <f t="shared" si="46"/>
        <v>1177.7947245998221</v>
      </c>
      <c r="G121" s="153" t="str">
        <f t="shared" si="46"/>
        <v>Not Possible</v>
      </c>
      <c r="H121" s="153">
        <f t="shared" si="46"/>
        <v>1159.7788681597376</v>
      </c>
      <c r="I121" s="153" t="str">
        <f t="shared" si="46"/>
        <v>Not Possible</v>
      </c>
      <c r="J121" s="153">
        <f t="shared" si="46"/>
        <v>2503.3027648304924</v>
      </c>
      <c r="K121" s="153" t="str">
        <f t="shared" si="46"/>
        <v>Not Possible</v>
      </c>
      <c r="L121" s="153">
        <f t="shared" si="46"/>
        <v>1159.7788681597376</v>
      </c>
      <c r="M121" s="153" t="str">
        <f t="shared" si="46"/>
        <v>Not Possible</v>
      </c>
      <c r="N121" s="153">
        <f t="shared" si="46"/>
        <v>1567.1686465846069</v>
      </c>
      <c r="O121" s="153" t="str">
        <f t="shared" si="46"/>
        <v>Not Possible</v>
      </c>
      <c r="P121" s="153">
        <f t="shared" si="46"/>
        <v>2465.392116951225</v>
      </c>
      <c r="Q121" s="153" t="str">
        <f t="shared" si="46"/>
        <v>Not Possible</v>
      </c>
      <c r="R121" s="153">
        <f t="shared" si="46"/>
        <v>2718.9410268351385</v>
      </c>
      <c r="S121" s="153">
        <f t="shared" si="46"/>
        <v>2011.7231026064801</v>
      </c>
      <c r="T121" s="153" t="str">
        <f t="shared" si="46"/>
        <v>Not Possible</v>
      </c>
    </row>
    <row r="122" spans="2:20">
      <c r="B122" s="76" t="s">
        <v>730</v>
      </c>
      <c r="C122" s="154">
        <f>MIN(D121:T121)</f>
        <v>1159.7788681597376</v>
      </c>
    </row>
    <row r="123" spans="2:20">
      <c r="B123" s="76" t="s">
        <v>734</v>
      </c>
      <c r="C123" s="155">
        <f>MATCH(C122,D121:T121,0)+3</f>
        <v>8</v>
      </c>
    </row>
    <row r="124" spans="2:20">
      <c r="B124" s="76" t="s">
        <v>739</v>
      </c>
      <c r="C124" s="155">
        <f>IF(C118="Part L 2021",MATCH(C119,B58:B64,0)+57,MATCH(C119,B66:B72,0)+65)</f>
        <v>69</v>
      </c>
    </row>
    <row r="126" spans="2:20">
      <c r="B126" s="135" t="s">
        <v>733</v>
      </c>
    </row>
    <row r="127" spans="2:20">
      <c r="B127" s="158" t="s">
        <v>770</v>
      </c>
    </row>
    <row r="128" spans="2:20">
      <c r="B128" t="s">
        <v>618</v>
      </c>
      <c r="C128" s="164" t="str" cm="1">
        <f t="array" aca="1" ref="C128" ca="1">INDIRECT(ADDRESS(3,$C$123))</f>
        <v>35 kWh/m2.year</v>
      </c>
    </row>
    <row r="129" spans="2:60">
      <c r="B129" t="s">
        <v>344</v>
      </c>
      <c r="C129" s="164" t="str" cm="1">
        <f t="array" aca="1" ref="C129" ca="1">INDIRECT(ADDRESS(4,$C$123))</f>
        <v>ASHP</v>
      </c>
    </row>
    <row r="130" spans="2:60" s="50" customFormat="1">
      <c r="B130" t="s">
        <v>139</v>
      </c>
      <c r="C130" s="164" t="str" cm="1">
        <f t="array" aca="1" ref="C130" ca="1">INDIRECT(ADDRESS(5,$C$123))</f>
        <v>Natural Ventilation</v>
      </c>
      <c r="T130"/>
      <c r="U130"/>
      <c r="V130" s="11"/>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row>
    <row r="131" spans="2:60" s="50" customFormat="1" ht="43.2">
      <c r="B131"/>
      <c r="C131" s="164" t="s">
        <v>743</v>
      </c>
      <c r="D131" s="50" t="s">
        <v>744</v>
      </c>
      <c r="E131" s="50" t="s">
        <v>745</v>
      </c>
      <c r="T131"/>
      <c r="U131"/>
      <c r="V131" s="1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row>
    <row r="132" spans="2:60" s="50" customFormat="1">
      <c r="B132" t="s">
        <v>736</v>
      </c>
      <c r="C132" s="6" cm="1">
        <f t="array" aca="1" ref="C132" ca="1">INDIRECT(ADDRESS(33,$C$123))</f>
        <v>0</v>
      </c>
      <c r="D132" s="143">
        <f ca="1">C132*'C&amp;B'!$H$13</f>
        <v>0</v>
      </c>
      <c r="E132" s="143">
        <f ca="1">D132*Embodied!$C$26/1000</f>
        <v>0</v>
      </c>
      <c r="T132"/>
      <c r="U132"/>
      <c r="V132" s="11"/>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row>
    <row r="133" spans="2:60" s="50" customFormat="1">
      <c r="B133" t="s">
        <v>735</v>
      </c>
      <c r="C133" s="6" cm="1">
        <f t="array" aca="1" ref="C133" ca="1">INDIRECT(ADDRESS(34,$C$123))</f>
        <v>31.891383845213625</v>
      </c>
      <c r="D133" s="143">
        <f ca="1">C133*'C&amp;B'!$H$13</f>
        <v>2235.5860075494747</v>
      </c>
      <c r="E133" s="143">
        <f ca="1">D133*Embodied!$C$26/1000</f>
        <v>223.55860075494746</v>
      </c>
      <c r="G133" s="143"/>
      <c r="T133"/>
      <c r="U133"/>
      <c r="V133" s="11"/>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row>
    <row r="134" spans="2:60" s="50" customFormat="1">
      <c r="B134" t="s">
        <v>738</v>
      </c>
      <c r="C134" s="6" cm="1">
        <f t="array" aca="1" ref="C134" ca="1">INDIRECT(ADDRESS($C$124,$C$123))</f>
        <v>1.1462981135995627</v>
      </c>
      <c r="D134" s="143">
        <f ca="1">C134*'C&amp;B'!$H$13</f>
        <v>80.355497763329339</v>
      </c>
      <c r="E134" s="143">
        <f ca="1">D134*Embodied!$C$26/1000</f>
        <v>8.0355497763329335</v>
      </c>
      <c r="T134"/>
      <c r="U134"/>
      <c r="V134" s="11"/>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row>
    <row r="135" spans="2:60" s="50" customFormat="1">
      <c r="B135" t="s">
        <v>737</v>
      </c>
      <c r="C135" s="6">
        <f ca="1">C134*SAP!C143/'C&amp;B'!H13</f>
        <v>14.824771387078057</v>
      </c>
      <c r="D135" s="143">
        <f ca="1">C135*'C&amp;B'!$H$13</f>
        <v>1039.2164742341718</v>
      </c>
      <c r="E135" s="143">
        <f ca="1">D135*Embodied!$C$26/1000</f>
        <v>103.92164742341717</v>
      </c>
      <c r="T135"/>
      <c r="U135"/>
      <c r="V135" s="11"/>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row>
    <row r="136" spans="2:60" s="50" customFormat="1">
      <c r="B136" t="s">
        <v>740</v>
      </c>
      <c r="C136" s="156">
        <f>D136/'C&amp;B'!H13</f>
        <v>16.544634353205957</v>
      </c>
      <c r="D136" s="154">
        <f>C122</f>
        <v>1159.7788681597376</v>
      </c>
      <c r="E136" s="153">
        <f>D136*Embodied!$C$26</f>
        <v>115977.88681597376</v>
      </c>
      <c r="T136"/>
      <c r="U136"/>
      <c r="V136" s="11"/>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row>
    <row r="138" spans="2:60" s="50" customFormat="1">
      <c r="B138" s="1" t="s">
        <v>774</v>
      </c>
      <c r="C138" s="164"/>
      <c r="T138"/>
      <c r="U138"/>
      <c r="V138" s="11"/>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row>
    <row r="139" spans="2:60" s="50" customFormat="1" ht="43.2">
      <c r="B139"/>
      <c r="C139" s="164" t="s">
        <v>743</v>
      </c>
      <c r="D139" s="50" t="s">
        <v>744</v>
      </c>
      <c r="E139" s="50" t="s">
        <v>745</v>
      </c>
      <c r="T139"/>
      <c r="U139"/>
      <c r="V139" s="11"/>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row>
    <row r="140" spans="2:60" s="50" customFormat="1">
      <c r="B140" t="s">
        <v>775</v>
      </c>
      <c r="C140" s="6" cm="1">
        <f t="array" aca="1" ref="C140" ca="1">INDIRECT(ADDRESS(29,$C$123))</f>
        <v>12.910533975576476</v>
      </c>
      <c r="D140" s="143">
        <f ca="1">C140*'C&amp;B'!$H$13</f>
        <v>905.02843168791082</v>
      </c>
      <c r="E140" s="143">
        <f ca="1">D140*Embodied!$C$26/1000</f>
        <v>90.502843168791074</v>
      </c>
      <c r="T140"/>
      <c r="U140"/>
      <c r="V140" s="11"/>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row>
    <row r="141" spans="2:60" s="50" customFormat="1">
      <c r="B141" t="s">
        <v>776</v>
      </c>
      <c r="C141" s="6" cm="1">
        <f t="array" aca="1" ref="C141" ca="1">INDIRECT(ADDRESS(30,$C$123))</f>
        <v>12.008695652173914</v>
      </c>
      <c r="D141" s="143">
        <f ca="1">C141*'C&amp;B'!$H$13</f>
        <v>841.80956521739131</v>
      </c>
      <c r="E141" s="143">
        <f ca="1">D141*Embodied!$C$26/1000</f>
        <v>84.180956521739134</v>
      </c>
      <c r="T141"/>
      <c r="U141"/>
      <c r="V141" s="1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row>
    <row r="142" spans="2:60" s="50" customFormat="1">
      <c r="B142" t="s">
        <v>777</v>
      </c>
      <c r="C142" s="6">
        <f ca="1">SUM(C140:C141)</f>
        <v>24.91922962775039</v>
      </c>
      <c r="D142" s="143">
        <f ca="1">SUM(D140:D141)</f>
        <v>1746.8379969053021</v>
      </c>
      <c r="E142" s="143">
        <f ca="1">SUM(E140:E141)</f>
        <v>174.68379969053021</v>
      </c>
      <c r="T142"/>
      <c r="U142"/>
      <c r="V142" s="11"/>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row>
    <row r="143" spans="2:60" s="50" customFormat="1">
      <c r="B143" t="s">
        <v>778</v>
      </c>
      <c r="C143" s="6">
        <f ca="1">(C140*SAP!$C$13/SAP!$C$18)+(C141*SAP!$C$13/SAP!$C$19)</f>
        <v>8.071457168579208</v>
      </c>
      <c r="D143" s="143">
        <f ca="1">C143*'C&amp;B'!$H$13</f>
        <v>565.80914751740249</v>
      </c>
      <c r="E143" s="143">
        <f ca="1">D143*Embodied!$C$26/1000</f>
        <v>56.580914751740252</v>
      </c>
      <c r="T143"/>
      <c r="U143"/>
      <c r="V143" s="11"/>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row>
    <row r="144" spans="2:60" s="50" customFormat="1">
      <c r="B144"/>
      <c r="C144" s="6"/>
      <c r="T144"/>
      <c r="U144"/>
      <c r="V144" s="11"/>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row>
    <row r="145" spans="2:3">
      <c r="B145" s="1" t="s">
        <v>786</v>
      </c>
    </row>
    <row r="146" spans="2:3">
      <c r="B146" t="s">
        <v>787</v>
      </c>
    </row>
    <row r="147" spans="2:3">
      <c r="B147" t="s">
        <v>788</v>
      </c>
      <c r="C147" s="154" t="str">
        <f>IF(AND(C114="Bespoke",ISNUMBER(T121)),"Options Available",IF(SUM(D121:T121)=0,"Not Possible","Options Available"))</f>
        <v>Options Available</v>
      </c>
    </row>
  </sheetData>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2:R63"/>
  <sheetViews>
    <sheetView topLeftCell="A22" zoomScale="130" zoomScaleNormal="130" workbookViewId="0">
      <selection activeCell="B3" sqref="B3"/>
    </sheetView>
  </sheetViews>
  <sheetFormatPr defaultRowHeight="14.4"/>
  <cols>
    <col min="2" max="2" width="33.44140625" customWidth="1"/>
    <col min="4" max="4" width="10.77734375" customWidth="1"/>
  </cols>
  <sheetData>
    <row r="2" spans="2:18">
      <c r="B2" s="1" t="s">
        <v>504</v>
      </c>
    </row>
    <row r="3" spans="2:18">
      <c r="B3" s="12" t="s">
        <v>472</v>
      </c>
    </row>
    <row r="4" spans="2:18">
      <c r="B4" t="s">
        <v>483</v>
      </c>
      <c r="M4" t="s">
        <v>502</v>
      </c>
      <c r="R4" t="s">
        <v>503</v>
      </c>
    </row>
    <row r="5" spans="2:18" ht="72">
      <c r="B5" s="5" t="s">
        <v>473</v>
      </c>
      <c r="C5" s="5" t="s">
        <v>474</v>
      </c>
      <c r="D5" s="5" t="s">
        <v>475</v>
      </c>
      <c r="E5" s="5" t="s">
        <v>476</v>
      </c>
      <c r="F5" s="5" t="s">
        <v>8</v>
      </c>
    </row>
    <row r="6" spans="2:18">
      <c r="B6" s="163" t="s">
        <v>783</v>
      </c>
      <c r="C6" s="163">
        <v>0</v>
      </c>
      <c r="D6" s="163">
        <v>0</v>
      </c>
      <c r="E6" s="163">
        <v>0</v>
      </c>
      <c r="F6" s="136" t="s">
        <v>782</v>
      </c>
    </row>
    <row r="7" spans="2:18">
      <c r="B7" s="77" t="s">
        <v>477</v>
      </c>
      <c r="C7" s="77">
        <v>100</v>
      </c>
      <c r="D7" s="77">
        <v>150</v>
      </c>
      <c r="E7" s="77">
        <f>D7-C7</f>
        <v>50</v>
      </c>
    </row>
    <row r="8" spans="2:18">
      <c r="B8" s="77" t="s">
        <v>478</v>
      </c>
      <c r="C8" s="77">
        <v>200</v>
      </c>
      <c r="D8" s="77">
        <v>300</v>
      </c>
      <c r="E8" s="77">
        <f t="shared" ref="E8:E15" si="0">D8-C8</f>
        <v>100</v>
      </c>
    </row>
    <row r="9" spans="2:18">
      <c r="B9" s="77" t="s">
        <v>45</v>
      </c>
      <c r="C9" s="77">
        <v>300</v>
      </c>
      <c r="D9" s="77">
        <v>450</v>
      </c>
      <c r="E9" s="77">
        <f t="shared" si="0"/>
        <v>150</v>
      </c>
      <c r="F9" t="s">
        <v>486</v>
      </c>
    </row>
    <row r="10" spans="2:18">
      <c r="B10" s="77" t="s">
        <v>46</v>
      </c>
      <c r="C10" s="77">
        <v>400</v>
      </c>
      <c r="D10" s="77">
        <v>625</v>
      </c>
      <c r="E10" s="77">
        <f t="shared" si="0"/>
        <v>225</v>
      </c>
      <c r="F10" t="s">
        <v>484</v>
      </c>
    </row>
    <row r="11" spans="2:18">
      <c r="B11" s="77" t="s">
        <v>47</v>
      </c>
      <c r="C11" s="77">
        <v>500</v>
      </c>
      <c r="D11" s="77">
        <v>800</v>
      </c>
      <c r="E11" s="77">
        <f t="shared" si="0"/>
        <v>300</v>
      </c>
      <c r="F11" t="s">
        <v>485</v>
      </c>
    </row>
    <row r="12" spans="2:18">
      <c r="B12" s="77" t="s">
        <v>479</v>
      </c>
      <c r="C12" s="77">
        <v>675</v>
      </c>
      <c r="D12" s="77">
        <v>1000</v>
      </c>
      <c r="E12" s="77">
        <f t="shared" si="0"/>
        <v>325</v>
      </c>
    </row>
    <row r="13" spans="2:18">
      <c r="B13" s="77" t="s">
        <v>482</v>
      </c>
      <c r="C13" s="77">
        <v>850</v>
      </c>
      <c r="D13" s="77">
        <v>1200</v>
      </c>
      <c r="E13" s="77">
        <f t="shared" si="0"/>
        <v>350</v>
      </c>
      <c r="F13" t="s">
        <v>487</v>
      </c>
    </row>
    <row r="14" spans="2:18">
      <c r="B14" s="77" t="s">
        <v>480</v>
      </c>
      <c r="C14" s="77">
        <v>1000</v>
      </c>
      <c r="D14" s="77">
        <v>1400</v>
      </c>
      <c r="E14" s="77">
        <f t="shared" si="0"/>
        <v>400</v>
      </c>
    </row>
    <row r="15" spans="2:18">
      <c r="B15" s="77" t="s">
        <v>481</v>
      </c>
      <c r="C15" s="77">
        <v>1200</v>
      </c>
      <c r="D15" s="77">
        <v>1600</v>
      </c>
      <c r="E15" s="77">
        <f t="shared" si="0"/>
        <v>400</v>
      </c>
    </row>
    <row r="16" spans="2:18">
      <c r="B16" s="77" t="s">
        <v>491</v>
      </c>
      <c r="C16" s="77">
        <f>VLOOKUP(INPUT!$C$42,Embodied!$B$6:$E$15,2,FALSE)</f>
        <v>850</v>
      </c>
      <c r="D16" s="77">
        <f>VLOOKUP(INPUT!$C$42,Embodied!$B$6:$E$15,3,FALSE)</f>
        <v>1200</v>
      </c>
      <c r="E16" s="77">
        <f>VLOOKUP(INPUT!$C$42,Embodied!$B$6:$E$15,4,FALSE)</f>
        <v>350</v>
      </c>
    </row>
    <row r="18" spans="2:16">
      <c r="B18" s="11" t="s">
        <v>488</v>
      </c>
      <c r="C18" s="77">
        <v>-100</v>
      </c>
      <c r="D18" t="s">
        <v>322</v>
      </c>
      <c r="E18" t="s">
        <v>489</v>
      </c>
    </row>
    <row r="20" spans="2:16">
      <c r="B20" s="1" t="s">
        <v>500</v>
      </c>
      <c r="H20" s="1"/>
      <c r="I20" s="1"/>
      <c r="J20" s="1"/>
    </row>
    <row r="21" spans="2:16">
      <c r="B21" s="59"/>
      <c r="C21" s="59"/>
      <c r="D21" s="59"/>
      <c r="E21" s="217" t="s">
        <v>712</v>
      </c>
      <c r="F21" s="218"/>
      <c r="G21" s="218"/>
      <c r="H21" s="218"/>
      <c r="I21" s="218"/>
      <c r="J21" s="219"/>
      <c r="K21" s="217" t="s">
        <v>713</v>
      </c>
      <c r="L21" s="218"/>
      <c r="M21" s="218"/>
      <c r="N21" s="218"/>
      <c r="O21" s="218"/>
      <c r="P21" s="219"/>
    </row>
    <row r="22" spans="2:16" ht="57.6">
      <c r="B22" s="56" t="s">
        <v>494</v>
      </c>
      <c r="C22" s="56" t="s">
        <v>498</v>
      </c>
      <c r="D22" s="56" t="s">
        <v>499</v>
      </c>
      <c r="E22" s="58" t="s">
        <v>474</v>
      </c>
      <c r="F22" s="58" t="s">
        <v>708</v>
      </c>
      <c r="G22" s="58" t="s">
        <v>709</v>
      </c>
      <c r="H22" s="58" t="s">
        <v>710</v>
      </c>
      <c r="I22" s="58" t="s">
        <v>711</v>
      </c>
      <c r="J22" s="58" t="s">
        <v>475</v>
      </c>
      <c r="K22" s="58" t="s">
        <v>474</v>
      </c>
      <c r="L22" s="58" t="s">
        <v>708</v>
      </c>
      <c r="M22" s="58" t="s">
        <v>709</v>
      </c>
      <c r="N22" s="58" t="s">
        <v>710</v>
      </c>
      <c r="O22" s="58" t="s">
        <v>711</v>
      </c>
      <c r="P22" s="58" t="s">
        <v>475</v>
      </c>
    </row>
    <row r="23" spans="2:16">
      <c r="B23" s="59" t="s">
        <v>17</v>
      </c>
      <c r="C23" s="60">
        <f>INPUT!$C$9*INPUT!C10</f>
        <v>200</v>
      </c>
      <c r="D23" s="60">
        <f>C23*'C&amp;B'!C13</f>
        <v>23420</v>
      </c>
      <c r="E23" s="82">
        <f>$D23*$C$16/1000</f>
        <v>19907</v>
      </c>
      <c r="F23" s="82">
        <f>$D23*$E$16/1000*$E$55</f>
        <v>633.86291739894557</v>
      </c>
      <c r="G23" s="82">
        <f>$D23*$E$16/1000*E56</f>
        <v>2261.738137082601</v>
      </c>
      <c r="H23" s="82">
        <f>$D23*$E$16/1000*E57</f>
        <v>893.17047451669589</v>
      </c>
      <c r="I23" s="82">
        <f>$D23*$E$16/1000*$E$58</f>
        <v>4408.2284710017566</v>
      </c>
      <c r="J23" s="82">
        <f>$D23*$D$16/1000</f>
        <v>28104</v>
      </c>
      <c r="K23" s="82">
        <f>E23/$C23</f>
        <v>99.534999999999997</v>
      </c>
      <c r="L23" s="82">
        <f t="shared" ref="L23:O27" si="1">F23/$C23</f>
        <v>3.1693145869947279</v>
      </c>
      <c r="M23" s="82">
        <f t="shared" si="1"/>
        <v>11.308690685413005</v>
      </c>
      <c r="N23" s="82">
        <f t="shared" si="1"/>
        <v>4.4658523725834796</v>
      </c>
      <c r="O23" s="82">
        <f t="shared" si="1"/>
        <v>22.041142355008784</v>
      </c>
      <c r="P23" s="82">
        <f t="shared" ref="P23:P27" si="2">J23/$C23</f>
        <v>140.52000000000001</v>
      </c>
    </row>
    <row r="24" spans="2:16">
      <c r="B24" s="59" t="s">
        <v>495</v>
      </c>
      <c r="C24" s="60">
        <f>INPUT!$C$9*INPUT!C11</f>
        <v>600</v>
      </c>
      <c r="D24" s="60">
        <f>C24*'C&amp;B'!D13</f>
        <v>50640</v>
      </c>
      <c r="E24" s="82">
        <f>$D24*$C$16/1000</f>
        <v>43044</v>
      </c>
      <c r="F24" s="82">
        <f>$D24*$E$16/1000*$E$55</f>
        <v>1370.5729349736382</v>
      </c>
      <c r="G24" s="82">
        <f>$D24*$E$16/1000*$E$56</f>
        <v>4890.4534270650265</v>
      </c>
      <c r="H24" s="82">
        <f>$D24*$E$16/1000*$E$57</f>
        <v>1931.2618629173987</v>
      </c>
      <c r="I24" s="82">
        <f>$D24*$E$16/1000*$E$58</f>
        <v>9531.7117750439356</v>
      </c>
      <c r="J24" s="82">
        <f>$D24*$D$16/1000</f>
        <v>60768</v>
      </c>
      <c r="K24" s="82">
        <f>E24/$C24</f>
        <v>71.739999999999995</v>
      </c>
      <c r="L24" s="82">
        <f t="shared" si="1"/>
        <v>2.2842882249560637</v>
      </c>
      <c r="M24" s="82">
        <f t="shared" si="1"/>
        <v>8.1507557117750444</v>
      </c>
      <c r="N24" s="82">
        <f t="shared" si="1"/>
        <v>3.218769771528998</v>
      </c>
      <c r="O24" s="82">
        <f t="shared" si="1"/>
        <v>15.886186291739893</v>
      </c>
      <c r="P24" s="82">
        <f t="shared" si="2"/>
        <v>101.28</v>
      </c>
    </row>
    <row r="25" spans="2:16">
      <c r="B25" s="59" t="s">
        <v>497</v>
      </c>
      <c r="C25" s="60">
        <f>INPUT!$C$9*INPUT!C12</f>
        <v>100</v>
      </c>
      <c r="D25" s="60">
        <f>C25*'C&amp;B'!E13</f>
        <v>5000</v>
      </c>
      <c r="E25" s="82">
        <f>$D25*$C$16/1000</f>
        <v>4250</v>
      </c>
      <c r="F25" s="82">
        <f>$D25*$E$16/1000*$E$55</f>
        <v>135.32513181019334</v>
      </c>
      <c r="G25" s="82">
        <f>$D25*$E$16/1000*$E$56</f>
        <v>482.86467486818981</v>
      </c>
      <c r="H25" s="82">
        <f>$D25*$E$16/1000*$E$57</f>
        <v>190.68541300527238</v>
      </c>
      <c r="I25" s="82">
        <f>$D25*$E$16/1000*$E$58</f>
        <v>941.1247803163443</v>
      </c>
      <c r="J25" s="82">
        <f>$D25*$D$16/1000</f>
        <v>6000</v>
      </c>
      <c r="K25" s="82">
        <f>E25/$C25</f>
        <v>42.5</v>
      </c>
      <c r="L25" s="82">
        <f t="shared" si="1"/>
        <v>1.3532513181019334</v>
      </c>
      <c r="M25" s="82">
        <f t="shared" si="1"/>
        <v>4.8286467486818978</v>
      </c>
      <c r="N25" s="82">
        <f t="shared" si="1"/>
        <v>1.9068541300527238</v>
      </c>
      <c r="O25" s="82">
        <f t="shared" si="1"/>
        <v>9.4112478031634428</v>
      </c>
      <c r="P25" s="82">
        <f t="shared" si="2"/>
        <v>60</v>
      </c>
    </row>
    <row r="26" spans="2:16">
      <c r="B26" s="59" t="s">
        <v>496</v>
      </c>
      <c r="C26" s="60">
        <f>INPUT!$C$9*INPUT!C13</f>
        <v>100</v>
      </c>
      <c r="D26" s="60">
        <f>C26*'C&amp;B'!H13</f>
        <v>7009.9999999999991</v>
      </c>
      <c r="E26" s="82">
        <f>$D26*$C$16/1000</f>
        <v>5958.4999999999991</v>
      </c>
      <c r="F26" s="82">
        <f t="shared" ref="F26:F27" si="3">$D26*$E$16/1000*$E$55</f>
        <v>189.72583479789103</v>
      </c>
      <c r="G26" s="82">
        <f t="shared" ref="G26:G27" si="4">$D26*$E$16/1000*$E$56</f>
        <v>676.97627416520197</v>
      </c>
      <c r="H26" s="82">
        <f t="shared" ref="H26:H27" si="5">$D26*$E$16/1000*$E$57</f>
        <v>267.34094903339184</v>
      </c>
      <c r="I26" s="82">
        <f t="shared" ref="I26:I27" si="6">$D26*$E$16/1000*$E$58</f>
        <v>1319.4569420035145</v>
      </c>
      <c r="J26" s="82">
        <f>$D26*$D$16/1000</f>
        <v>8411.9999999999982</v>
      </c>
      <c r="K26" s="82">
        <f>E26/$C26</f>
        <v>59.584999999999994</v>
      </c>
      <c r="L26" s="82">
        <f t="shared" si="1"/>
        <v>1.8972583479789102</v>
      </c>
      <c r="M26" s="82">
        <f t="shared" si="1"/>
        <v>6.7697627416520199</v>
      </c>
      <c r="N26" s="82">
        <f t="shared" si="1"/>
        <v>2.6734094903339183</v>
      </c>
      <c r="O26" s="82">
        <f t="shared" si="1"/>
        <v>13.194569420035146</v>
      </c>
      <c r="P26" s="82">
        <f t="shared" si="2"/>
        <v>84.119999999999976</v>
      </c>
    </row>
    <row r="27" spans="2:16">
      <c r="B27" s="59" t="s">
        <v>501</v>
      </c>
      <c r="C27" s="60">
        <f>SUM(C23:C26)</f>
        <v>1000</v>
      </c>
      <c r="D27" s="60">
        <f t="shared" ref="D27:J27" si="7">SUM(D23:D26)</f>
        <v>86070</v>
      </c>
      <c r="E27" s="82">
        <f t="shared" si="7"/>
        <v>73159.5</v>
      </c>
      <c r="F27" s="82">
        <f t="shared" si="3"/>
        <v>2329.486818980668</v>
      </c>
      <c r="G27" s="82">
        <f t="shared" si="4"/>
        <v>8312.0325131810187</v>
      </c>
      <c r="H27" s="82">
        <f t="shared" si="5"/>
        <v>3282.4586994727588</v>
      </c>
      <c r="I27" s="82">
        <f t="shared" si="6"/>
        <v>16200.52196836555</v>
      </c>
      <c r="J27" s="82">
        <f t="shared" si="7"/>
        <v>103284</v>
      </c>
      <c r="K27" s="82">
        <f>E27/$C27</f>
        <v>73.159499999999994</v>
      </c>
      <c r="L27" s="82">
        <f t="shared" si="1"/>
        <v>2.3294868189806679</v>
      </c>
      <c r="M27" s="82">
        <f t="shared" si="1"/>
        <v>8.312032513181018</v>
      </c>
      <c r="N27" s="82">
        <f t="shared" si="1"/>
        <v>3.2824586994727589</v>
      </c>
      <c r="O27" s="82">
        <f t="shared" si="1"/>
        <v>16.20052196836555</v>
      </c>
      <c r="P27" s="82">
        <f t="shared" si="2"/>
        <v>103.28400000000001</v>
      </c>
    </row>
    <row r="29" spans="2:16">
      <c r="B29" s="1" t="s">
        <v>505</v>
      </c>
    </row>
    <row r="30" spans="2:16">
      <c r="B30" t="s">
        <v>506</v>
      </c>
    </row>
    <row r="52" spans="2:6">
      <c r="B52" t="s">
        <v>512</v>
      </c>
    </row>
    <row r="53" spans="2:6" ht="43.2">
      <c r="D53" s="50" t="s">
        <v>516</v>
      </c>
      <c r="E53" s="50" t="s">
        <v>518</v>
      </c>
      <c r="F53" s="50" t="s">
        <v>862</v>
      </c>
    </row>
    <row r="54" spans="2:6">
      <c r="B54" t="s">
        <v>507</v>
      </c>
      <c r="C54">
        <v>8.4600000000000009</v>
      </c>
      <c r="D54" s="77"/>
      <c r="E54" s="77"/>
    </row>
    <row r="55" spans="2:6">
      <c r="B55" t="s">
        <v>508</v>
      </c>
      <c r="C55">
        <f>1.87-1.43</f>
        <v>0.44000000000000017</v>
      </c>
      <c r="D55" s="77"/>
      <c r="E55" s="9">
        <f>C55/$C$63</f>
        <v>7.7328646748681909E-2</v>
      </c>
      <c r="F55" s="9">
        <f>C55/$C$60</f>
        <v>0.1673003802281369</v>
      </c>
    </row>
    <row r="56" spans="2:6">
      <c r="B56" t="s">
        <v>509</v>
      </c>
      <c r="C56">
        <f>2.99-1.42</f>
        <v>1.5700000000000003</v>
      </c>
      <c r="D56" s="77"/>
      <c r="E56" s="9">
        <f t="shared" ref="E56:E58" si="8">C56/$C$63</f>
        <v>0.27592267135325133</v>
      </c>
      <c r="F56" s="9">
        <f t="shared" ref="F56:F57" si="9">C56/$C$60</f>
        <v>0.59695817490494285</v>
      </c>
    </row>
    <row r="57" spans="2:6">
      <c r="B57" t="s">
        <v>510</v>
      </c>
      <c r="C57">
        <f>2.04-1.42</f>
        <v>0.62000000000000011</v>
      </c>
      <c r="D57" s="77"/>
      <c r="E57" s="9">
        <f t="shared" si="8"/>
        <v>0.10896309314586994</v>
      </c>
      <c r="F57" s="9">
        <f t="shared" si="9"/>
        <v>0.23574144486692011</v>
      </c>
    </row>
    <row r="58" spans="2:6">
      <c r="B58" t="s">
        <v>511</v>
      </c>
      <c r="C58">
        <v>3.06</v>
      </c>
      <c r="D58" s="77"/>
      <c r="E58" s="9">
        <f t="shared" si="8"/>
        <v>0.53778558875219673</v>
      </c>
    </row>
    <row r="59" spans="2:6">
      <c r="B59" t="s">
        <v>513</v>
      </c>
      <c r="C59">
        <f>C54</f>
        <v>8.4600000000000009</v>
      </c>
      <c r="D59" s="9">
        <f>C59/$C$62</f>
        <v>0.5978798586572438</v>
      </c>
      <c r="E59" s="77"/>
    </row>
    <row r="60" spans="2:6">
      <c r="B60" t="s">
        <v>514</v>
      </c>
      <c r="C60">
        <f>SUM(C55:C57)</f>
        <v>2.6300000000000008</v>
      </c>
      <c r="D60" s="9">
        <f t="shared" ref="D60:D62" si="10">C60/$C$62</f>
        <v>0.18586572438162546</v>
      </c>
      <c r="E60" s="77"/>
    </row>
    <row r="61" spans="2:6">
      <c r="B61" t="s">
        <v>515</v>
      </c>
      <c r="C61">
        <f>C58</f>
        <v>3.06</v>
      </c>
      <c r="D61" s="9">
        <f t="shared" si="10"/>
        <v>0.21625441696113071</v>
      </c>
      <c r="E61" s="77"/>
    </row>
    <row r="62" spans="2:6">
      <c r="B62" t="s">
        <v>408</v>
      </c>
      <c r="C62">
        <f>SUM(C59:C61)</f>
        <v>14.150000000000002</v>
      </c>
      <c r="D62" s="9">
        <f t="shared" si="10"/>
        <v>1</v>
      </c>
      <c r="E62" s="77"/>
    </row>
    <row r="63" spans="2:6">
      <c r="B63" t="s">
        <v>517</v>
      </c>
      <c r="C63">
        <f>C60+C61</f>
        <v>5.6900000000000013</v>
      </c>
      <c r="D63" s="77"/>
      <c r="E63" s="77"/>
    </row>
  </sheetData>
  <mergeCells count="2">
    <mergeCell ref="E21:J21"/>
    <mergeCell ref="K21:P21"/>
  </mergeCells>
  <hyperlinks>
    <hyperlink ref="B3" r:id="rId1"/>
  </hyperlinks>
  <pageMargins left="0.7" right="0.7" top="0.75" bottom="0.75" header="0.3" footer="0.3"/>
  <pageSetup paperSize="9" orientation="portrait"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XFD95"/>
  <sheetViews>
    <sheetView topLeftCell="A43" zoomScale="85" zoomScaleNormal="85" workbookViewId="0">
      <selection activeCell="B210" sqref="B210"/>
    </sheetView>
  </sheetViews>
  <sheetFormatPr defaultRowHeight="14.4"/>
  <cols>
    <col min="2" max="2" width="33.77734375" customWidth="1"/>
    <col min="3" max="3" width="10" bestFit="1" customWidth="1"/>
    <col min="4" max="4" width="10" customWidth="1"/>
    <col min="9" max="9" width="13.21875" customWidth="1"/>
    <col min="42" max="42" width="9.21875" customWidth="1"/>
    <col min="64" max="64" width="12.5546875" style="164" bestFit="1" customWidth="1"/>
  </cols>
  <sheetData>
    <row r="2" spans="2:16384">
      <c r="B2" s="1" t="s">
        <v>813</v>
      </c>
    </row>
    <row r="3" spans="2:16384">
      <c r="B3" s="1" t="s">
        <v>816</v>
      </c>
      <c r="X3" s="170" t="s">
        <v>790</v>
      </c>
    </row>
    <row r="4" spans="2:16384" s="41" customFormat="1">
      <c r="B4" s="41" t="s">
        <v>718</v>
      </c>
      <c r="C4" s="94">
        <v>0</v>
      </c>
      <c r="D4" s="94">
        <v>1</v>
      </c>
      <c r="E4" s="94">
        <v>2</v>
      </c>
      <c r="F4" s="94">
        <v>3</v>
      </c>
      <c r="G4" s="94">
        <v>4</v>
      </c>
      <c r="H4" s="94">
        <v>5</v>
      </c>
      <c r="I4" s="94">
        <v>6</v>
      </c>
      <c r="J4" s="94">
        <v>7</v>
      </c>
      <c r="K4" s="94">
        <v>8</v>
      </c>
      <c r="L4" s="94">
        <v>9</v>
      </c>
      <c r="M4" s="94">
        <v>10</v>
      </c>
      <c r="N4" s="94">
        <v>11</v>
      </c>
      <c r="O4" s="94">
        <v>12</v>
      </c>
      <c r="P4" s="94">
        <v>13</v>
      </c>
      <c r="Q4" s="94">
        <v>14</v>
      </c>
      <c r="R4" s="94">
        <v>15</v>
      </c>
      <c r="S4" s="94">
        <v>16</v>
      </c>
      <c r="T4" s="94">
        <v>17</v>
      </c>
      <c r="U4" s="94">
        <v>18</v>
      </c>
      <c r="V4" s="94">
        <v>19</v>
      </c>
      <c r="W4" s="94">
        <v>20</v>
      </c>
      <c r="X4" s="94">
        <v>21</v>
      </c>
      <c r="Y4" s="94">
        <v>22</v>
      </c>
      <c r="Z4" s="94">
        <v>23</v>
      </c>
      <c r="AA4" s="94">
        <v>24</v>
      </c>
      <c r="AB4" s="94">
        <v>25</v>
      </c>
      <c r="AC4" s="94">
        <v>26</v>
      </c>
      <c r="AD4" s="94">
        <v>27</v>
      </c>
      <c r="AE4" s="94">
        <v>28</v>
      </c>
      <c r="AF4" s="94">
        <v>29</v>
      </c>
      <c r="AG4" s="94">
        <v>30</v>
      </c>
      <c r="AH4" s="94">
        <v>31</v>
      </c>
      <c r="AI4" s="94">
        <v>32</v>
      </c>
      <c r="AJ4" s="94">
        <v>33</v>
      </c>
      <c r="AK4" s="94">
        <v>34</v>
      </c>
      <c r="AL4" s="94">
        <v>35</v>
      </c>
      <c r="AM4" s="94">
        <v>36</v>
      </c>
      <c r="AN4" s="94">
        <v>37</v>
      </c>
      <c r="AO4" s="94">
        <v>38</v>
      </c>
      <c r="AP4" s="94">
        <v>39</v>
      </c>
      <c r="AQ4" s="94">
        <v>40</v>
      </c>
      <c r="AR4" s="94">
        <v>41</v>
      </c>
      <c r="AS4" s="94">
        <v>42</v>
      </c>
      <c r="AT4" s="94">
        <v>43</v>
      </c>
      <c r="AU4" s="94">
        <v>44</v>
      </c>
      <c r="AV4" s="94">
        <v>45</v>
      </c>
      <c r="AW4" s="94">
        <v>46</v>
      </c>
      <c r="AX4" s="94">
        <v>47</v>
      </c>
      <c r="AY4" s="94">
        <v>48</v>
      </c>
      <c r="AZ4" s="94">
        <v>49</v>
      </c>
      <c r="BA4" s="94">
        <v>50</v>
      </c>
      <c r="BB4" s="94">
        <v>51</v>
      </c>
      <c r="BC4" s="94">
        <v>52</v>
      </c>
      <c r="BD4" s="94">
        <v>53</v>
      </c>
      <c r="BE4" s="94">
        <v>54</v>
      </c>
      <c r="BF4" s="94">
        <v>55</v>
      </c>
      <c r="BG4" s="94">
        <v>56</v>
      </c>
      <c r="BH4" s="94">
        <v>57</v>
      </c>
      <c r="BI4" s="94">
        <v>58</v>
      </c>
      <c r="BJ4" s="94">
        <v>59</v>
      </c>
      <c r="BK4" s="94">
        <v>60</v>
      </c>
      <c r="BL4" s="101" t="s">
        <v>501</v>
      </c>
    </row>
    <row r="5" spans="2:16384" s="41" customFormat="1">
      <c r="B5" s="41" t="s">
        <v>719</v>
      </c>
      <c r="C5" s="101">
        <f>INPUT!C8</f>
        <v>2026</v>
      </c>
      <c r="D5" s="101">
        <f>C5+1</f>
        <v>2027</v>
      </c>
      <c r="E5" s="101">
        <f t="shared" ref="E5:BK5" si="0">D5+1</f>
        <v>2028</v>
      </c>
      <c r="F5" s="101">
        <f t="shared" si="0"/>
        <v>2029</v>
      </c>
      <c r="G5" s="101">
        <f t="shared" si="0"/>
        <v>2030</v>
      </c>
      <c r="H5" s="101">
        <f t="shared" si="0"/>
        <v>2031</v>
      </c>
      <c r="I5" s="101">
        <f t="shared" si="0"/>
        <v>2032</v>
      </c>
      <c r="J5" s="101">
        <f t="shared" si="0"/>
        <v>2033</v>
      </c>
      <c r="K5" s="101">
        <f t="shared" si="0"/>
        <v>2034</v>
      </c>
      <c r="L5" s="101">
        <f t="shared" si="0"/>
        <v>2035</v>
      </c>
      <c r="M5" s="101">
        <f t="shared" si="0"/>
        <v>2036</v>
      </c>
      <c r="N5" s="101">
        <f t="shared" si="0"/>
        <v>2037</v>
      </c>
      <c r="O5" s="101">
        <f t="shared" si="0"/>
        <v>2038</v>
      </c>
      <c r="P5" s="101">
        <f t="shared" si="0"/>
        <v>2039</v>
      </c>
      <c r="Q5" s="101">
        <f t="shared" si="0"/>
        <v>2040</v>
      </c>
      <c r="R5" s="101">
        <f t="shared" si="0"/>
        <v>2041</v>
      </c>
      <c r="S5" s="101">
        <f t="shared" si="0"/>
        <v>2042</v>
      </c>
      <c r="T5" s="101">
        <f t="shared" si="0"/>
        <v>2043</v>
      </c>
      <c r="U5" s="101">
        <f t="shared" si="0"/>
        <v>2044</v>
      </c>
      <c r="V5" s="101">
        <f t="shared" si="0"/>
        <v>2045</v>
      </c>
      <c r="W5" s="101">
        <f t="shared" si="0"/>
        <v>2046</v>
      </c>
      <c r="X5" s="101">
        <f t="shared" si="0"/>
        <v>2047</v>
      </c>
      <c r="Y5" s="101">
        <f t="shared" si="0"/>
        <v>2048</v>
      </c>
      <c r="Z5" s="101">
        <f t="shared" si="0"/>
        <v>2049</v>
      </c>
      <c r="AA5" s="101">
        <f t="shared" si="0"/>
        <v>2050</v>
      </c>
      <c r="AB5" s="101">
        <f t="shared" si="0"/>
        <v>2051</v>
      </c>
      <c r="AC5" s="101">
        <f t="shared" si="0"/>
        <v>2052</v>
      </c>
      <c r="AD5" s="101">
        <f t="shared" si="0"/>
        <v>2053</v>
      </c>
      <c r="AE5" s="101">
        <f t="shared" si="0"/>
        <v>2054</v>
      </c>
      <c r="AF5" s="101">
        <f t="shared" si="0"/>
        <v>2055</v>
      </c>
      <c r="AG5" s="101">
        <f t="shared" si="0"/>
        <v>2056</v>
      </c>
      <c r="AH5" s="101">
        <f t="shared" si="0"/>
        <v>2057</v>
      </c>
      <c r="AI5" s="101">
        <f t="shared" si="0"/>
        <v>2058</v>
      </c>
      <c r="AJ5" s="101">
        <f t="shared" si="0"/>
        <v>2059</v>
      </c>
      <c r="AK5" s="101">
        <f t="shared" si="0"/>
        <v>2060</v>
      </c>
      <c r="AL5" s="101">
        <f t="shared" si="0"/>
        <v>2061</v>
      </c>
      <c r="AM5" s="101">
        <f t="shared" si="0"/>
        <v>2062</v>
      </c>
      <c r="AN5" s="101">
        <f t="shared" si="0"/>
        <v>2063</v>
      </c>
      <c r="AO5" s="101">
        <f t="shared" si="0"/>
        <v>2064</v>
      </c>
      <c r="AP5" s="101">
        <f t="shared" si="0"/>
        <v>2065</v>
      </c>
      <c r="AQ5" s="101">
        <f t="shared" si="0"/>
        <v>2066</v>
      </c>
      <c r="AR5" s="101">
        <f t="shared" si="0"/>
        <v>2067</v>
      </c>
      <c r="AS5" s="101">
        <f t="shared" si="0"/>
        <v>2068</v>
      </c>
      <c r="AT5" s="101">
        <f t="shared" si="0"/>
        <v>2069</v>
      </c>
      <c r="AU5" s="101">
        <f t="shared" si="0"/>
        <v>2070</v>
      </c>
      <c r="AV5" s="101">
        <f t="shared" si="0"/>
        <v>2071</v>
      </c>
      <c r="AW5" s="101">
        <f t="shared" si="0"/>
        <v>2072</v>
      </c>
      <c r="AX5" s="101">
        <f t="shared" si="0"/>
        <v>2073</v>
      </c>
      <c r="AY5" s="101">
        <f t="shared" si="0"/>
        <v>2074</v>
      </c>
      <c r="AZ5" s="101">
        <f t="shared" si="0"/>
        <v>2075</v>
      </c>
      <c r="BA5" s="101">
        <f t="shared" si="0"/>
        <v>2076</v>
      </c>
      <c r="BB5" s="101">
        <f t="shared" si="0"/>
        <v>2077</v>
      </c>
      <c r="BC5" s="101">
        <f t="shared" si="0"/>
        <v>2078</v>
      </c>
      <c r="BD5" s="101">
        <f t="shared" si="0"/>
        <v>2079</v>
      </c>
      <c r="BE5" s="101">
        <f t="shared" si="0"/>
        <v>2080</v>
      </c>
      <c r="BF5" s="101">
        <f t="shared" si="0"/>
        <v>2081</v>
      </c>
      <c r="BG5" s="101">
        <f t="shared" si="0"/>
        <v>2082</v>
      </c>
      <c r="BH5" s="101">
        <f t="shared" si="0"/>
        <v>2083</v>
      </c>
      <c r="BI5" s="101">
        <f t="shared" si="0"/>
        <v>2084</v>
      </c>
      <c r="BJ5" s="101">
        <f t="shared" si="0"/>
        <v>2085</v>
      </c>
      <c r="BK5" s="101">
        <f t="shared" si="0"/>
        <v>2086</v>
      </c>
      <c r="BL5" s="101"/>
    </row>
    <row r="6" spans="2:16384">
      <c r="B6" t="s">
        <v>802</v>
      </c>
      <c r="C6" s="7">
        <v>0</v>
      </c>
      <c r="D6" s="7">
        <f ca="1">Detached!$E$133-Detached!$E$135</f>
        <v>458.52595104632144</v>
      </c>
      <c r="E6" s="7">
        <f ca="1">Detached!$E$133-Detached!$E$135</f>
        <v>458.52595104632144</v>
      </c>
      <c r="F6" s="7">
        <f ca="1">Detached!$E$133-Detached!$E$135</f>
        <v>458.52595104632144</v>
      </c>
      <c r="G6" s="7">
        <f ca="1">Detached!$E$133-Detached!$E$135</f>
        <v>458.52595104632144</v>
      </c>
      <c r="H6" s="7">
        <f ca="1">Detached!$E$133-Detached!$E$135</f>
        <v>458.52595104632144</v>
      </c>
      <c r="I6" s="7">
        <f ca="1">Detached!$E$133-Detached!$E$135</f>
        <v>458.52595104632144</v>
      </c>
      <c r="J6" s="7">
        <f ca="1">Detached!$E$133-Detached!$E$135</f>
        <v>458.52595104632144</v>
      </c>
      <c r="K6" s="7">
        <f ca="1">Detached!$E$133-Detached!$E$135</f>
        <v>458.52595104632144</v>
      </c>
      <c r="L6" s="7">
        <f ca="1">Detached!$E$133-Detached!$E$135</f>
        <v>458.52595104632144</v>
      </c>
      <c r="M6" s="7">
        <f ca="1">Detached!$E$133-Detached!$E$135</f>
        <v>458.52595104632144</v>
      </c>
      <c r="N6" s="7">
        <f ca="1">Detached!$E$133-Detached!$E$135</f>
        <v>458.52595104632144</v>
      </c>
      <c r="O6" s="7">
        <f ca="1">Detached!$E$133-Detached!$E$135</f>
        <v>458.52595104632144</v>
      </c>
      <c r="P6" s="7">
        <f ca="1">Detached!$E$133-Detached!$E$135</f>
        <v>458.52595104632144</v>
      </c>
      <c r="Q6" s="7">
        <f ca="1">Detached!$E$133-Detached!$E$135</f>
        <v>458.52595104632144</v>
      </c>
      <c r="R6" s="7">
        <f ca="1">Detached!$E$133-Detached!$E$135</f>
        <v>458.52595104632144</v>
      </c>
      <c r="S6" s="7">
        <f ca="1">Detached!$E$133-Detached!$E$135</f>
        <v>458.52595104632144</v>
      </c>
      <c r="T6" s="7">
        <f ca="1">Detached!$E$133-Detached!$E$135</f>
        <v>458.52595104632144</v>
      </c>
      <c r="U6" s="7">
        <f ca="1">Detached!$E$133-Detached!$E$135</f>
        <v>458.52595104632144</v>
      </c>
      <c r="V6" s="7">
        <f ca="1">Detached!$E$133-Detached!$E$135</f>
        <v>458.52595104632144</v>
      </c>
      <c r="W6" s="7">
        <f ca="1">Detached!$E$133-Detached!$E$135</f>
        <v>458.52595104632144</v>
      </c>
      <c r="X6" s="173">
        <f ca="1">IF(Detached!$C$129="ASHP",Detached!$E$133-Detached!$E$135,Detached!$E$133-Detached!$E$135+Detached!$E$143)</f>
        <v>458.52595104632144</v>
      </c>
      <c r="Y6" s="7">
        <f ca="1">IF(Detached!$C$129="ASHP",Detached!$E$133-Detached!$E$135,Detached!$E$133-Detached!$E$135+Detached!$E$143)</f>
        <v>458.52595104632144</v>
      </c>
      <c r="Z6" s="7">
        <f ca="1">IF(Detached!$C$129="ASHP",Detached!$E$133-Detached!$E$135,Detached!$E$133-Detached!$E$135+Detached!$E$143)</f>
        <v>458.52595104632144</v>
      </c>
      <c r="AA6" s="7">
        <f ca="1">IF(Detached!$C$129="ASHP",Detached!$E$133-Detached!$E$135,Detached!$E$133-Detached!$E$135+Detached!$E$143)</f>
        <v>458.52595104632144</v>
      </c>
      <c r="AB6" s="7">
        <f ca="1">IF(Detached!$C$129="ASHP",Detached!$E$133-Detached!$E$135,Detached!$E$133-Detached!$E$135+Detached!$E$143)</f>
        <v>458.52595104632144</v>
      </c>
      <c r="AC6" s="7">
        <f ca="1">IF(Detached!$C$129="ASHP",Detached!$E$133-Detached!$E$135,Detached!$E$133-Detached!$E$135+Detached!$E$143)</f>
        <v>458.52595104632144</v>
      </c>
      <c r="AD6" s="7">
        <f ca="1">IF(Detached!$C$129="ASHP",Detached!$E$133-Detached!$E$135,Detached!$E$133-Detached!$E$135+Detached!$E$143)</f>
        <v>458.52595104632144</v>
      </c>
      <c r="AE6" s="7">
        <f ca="1">IF(Detached!$C$129="ASHP",Detached!$E$133-Detached!$E$135,Detached!$E$133-Detached!$E$135+Detached!$E$143)</f>
        <v>458.52595104632144</v>
      </c>
      <c r="AF6" s="7">
        <f ca="1">IF(Detached!$C$129="ASHP",Detached!$E$133-Detached!$E$135,Detached!$E$133-Detached!$E$135+Detached!$E$143)</f>
        <v>458.52595104632144</v>
      </c>
      <c r="AG6" s="7">
        <f ca="1">IF(Detached!$C$129="ASHP",Detached!$E$133-Detached!$E$135,Detached!$E$133-Detached!$E$135+Detached!$E$143)</f>
        <v>458.52595104632144</v>
      </c>
      <c r="AH6" s="7">
        <f ca="1">IF(Detached!$C$129="ASHP",Detached!$E$133-Detached!$E$135,Detached!$E$133-Detached!$E$135+Detached!$E$143)</f>
        <v>458.52595104632144</v>
      </c>
      <c r="AI6" s="7">
        <f ca="1">IF(Detached!$C$129="ASHP",Detached!$E$133-Detached!$E$135,Detached!$E$133-Detached!$E$135+Detached!$E$143)</f>
        <v>458.52595104632144</v>
      </c>
      <c r="AJ6" s="7">
        <f ca="1">IF(Detached!$C$129="ASHP",Detached!$E$133-Detached!$E$135,Detached!$E$133-Detached!$E$135+Detached!$E$143)</f>
        <v>458.52595104632144</v>
      </c>
      <c r="AK6" s="7">
        <f ca="1">IF(Detached!$C$129="ASHP",Detached!$E$133-Detached!$E$135,Detached!$E$133-Detached!$E$135+Detached!$E$143)</f>
        <v>458.52595104632144</v>
      </c>
      <c r="AL6" s="7">
        <f ca="1">IF(Detached!$C$129="ASHP",Detached!$E$133-Detached!$E$135,Detached!$E$133-Detached!$E$135+Detached!$E$143)</f>
        <v>458.52595104632144</v>
      </c>
      <c r="AM6" s="7">
        <f ca="1">IF(Detached!$C$129="ASHP",Detached!$E$133-Detached!$E$135,Detached!$E$133-Detached!$E$135+Detached!$E$143)</f>
        <v>458.52595104632144</v>
      </c>
      <c r="AN6" s="7">
        <f ca="1">IF(Detached!$C$129="ASHP",Detached!$E$133-Detached!$E$135,Detached!$E$133-Detached!$E$135+Detached!$E$143)</f>
        <v>458.52595104632144</v>
      </c>
      <c r="AO6" s="7">
        <f ca="1">IF(Detached!$C$129="ASHP",Detached!$E$133-Detached!$E$135,Detached!$E$133-Detached!$E$135+Detached!$E$143)</f>
        <v>458.52595104632144</v>
      </c>
      <c r="AP6" s="7">
        <f ca="1">IF(Detached!$C$129="ASHP",Detached!$E$133-Detached!$E$135,Detached!$E$133-Detached!$E$135+Detached!$E$143)</f>
        <v>458.52595104632144</v>
      </c>
      <c r="AQ6" s="7">
        <f ca="1">IF(Detached!$C$129="ASHP",Detached!$E$133-Detached!$E$135,Detached!$E$133-Detached!$E$135+Detached!$E$143)</f>
        <v>458.52595104632144</v>
      </c>
      <c r="AR6" s="7">
        <f ca="1">IF(Detached!$C$129="ASHP",Detached!$E$133-Detached!$E$135,Detached!$E$133-Detached!$E$135+Detached!$E$143)</f>
        <v>458.52595104632144</v>
      </c>
      <c r="AS6" s="7">
        <f ca="1">IF(Detached!$C$129="ASHP",Detached!$E$133-Detached!$E$135,Detached!$E$133-Detached!$E$135+Detached!$E$143)</f>
        <v>458.52595104632144</v>
      </c>
      <c r="AT6" s="7">
        <f ca="1">IF(Detached!$C$129="ASHP",Detached!$E$133-Detached!$E$135,Detached!$E$133-Detached!$E$135+Detached!$E$143)</f>
        <v>458.52595104632144</v>
      </c>
      <c r="AU6" s="7">
        <f ca="1">IF(Detached!$C$129="ASHP",Detached!$E$133-Detached!$E$135,Detached!$E$133-Detached!$E$135+Detached!$E$143)</f>
        <v>458.52595104632144</v>
      </c>
      <c r="AV6" s="7">
        <f ca="1">IF(Detached!$C$129="ASHP",Detached!$E$133-Detached!$E$135,Detached!$E$133-Detached!$E$135+Detached!$E$143)</f>
        <v>458.52595104632144</v>
      </c>
      <c r="AW6" s="7">
        <f ca="1">IF(Detached!$C$129="ASHP",Detached!$E$133-Detached!$E$135,Detached!$E$133-Detached!$E$135+Detached!$E$143)</f>
        <v>458.52595104632144</v>
      </c>
      <c r="AX6" s="7">
        <f ca="1">IF(Detached!$C$129="ASHP",Detached!$E$133-Detached!$E$135,Detached!$E$133-Detached!$E$135+Detached!$E$143)</f>
        <v>458.52595104632144</v>
      </c>
      <c r="AY6" s="7">
        <f ca="1">IF(Detached!$C$129="ASHP",Detached!$E$133-Detached!$E$135,Detached!$E$133-Detached!$E$135+Detached!$E$143)</f>
        <v>458.52595104632144</v>
      </c>
      <c r="AZ6" s="7">
        <f ca="1">IF(Detached!$C$129="ASHP",Detached!$E$133-Detached!$E$135,Detached!$E$133-Detached!$E$135+Detached!$E$143)</f>
        <v>458.52595104632144</v>
      </c>
      <c r="BA6" s="7">
        <f ca="1">IF(Detached!$C$129="ASHP",Detached!$E$133-Detached!$E$135,Detached!$E$133-Detached!$E$135+Detached!$E$143)</f>
        <v>458.52595104632144</v>
      </c>
      <c r="BB6" s="7">
        <f ca="1">IF(Detached!$C$129="ASHP",Detached!$E$133-Detached!$E$135,Detached!$E$133-Detached!$E$135+Detached!$E$143)</f>
        <v>458.52595104632144</v>
      </c>
      <c r="BC6" s="7">
        <f ca="1">IF(Detached!$C$129="ASHP",Detached!$E$133-Detached!$E$135,Detached!$E$133-Detached!$E$135+Detached!$E$143)</f>
        <v>458.52595104632144</v>
      </c>
      <c r="BD6" s="7">
        <f ca="1">IF(Detached!$C$129="ASHP",Detached!$E$133-Detached!$E$135,Detached!$E$133-Detached!$E$135+Detached!$E$143)</f>
        <v>458.52595104632144</v>
      </c>
      <c r="BE6" s="7">
        <f ca="1">IF(Detached!$C$129="ASHP",Detached!$E$133-Detached!$E$135,Detached!$E$133-Detached!$E$135+Detached!$E$143)</f>
        <v>458.52595104632144</v>
      </c>
      <c r="BF6" s="7">
        <f ca="1">IF(Detached!$C$129="ASHP",Detached!$E$133-Detached!$E$135,Detached!$E$133-Detached!$E$135+Detached!$E$143)</f>
        <v>458.52595104632144</v>
      </c>
      <c r="BG6" s="7">
        <f ca="1">IF(Detached!$C$129="ASHP",Detached!$E$133-Detached!$E$135,Detached!$E$133-Detached!$E$135+Detached!$E$143)</f>
        <v>458.52595104632144</v>
      </c>
      <c r="BH6" s="7">
        <f ca="1">IF(Detached!$C$129="ASHP",Detached!$E$133-Detached!$E$135,Detached!$E$133-Detached!$E$135+Detached!$E$143)</f>
        <v>458.52595104632144</v>
      </c>
      <c r="BI6" s="7">
        <f ca="1">IF(Detached!$C$129="ASHP",Detached!$E$133-Detached!$E$135,Detached!$E$133-Detached!$E$135+Detached!$E$143)</f>
        <v>458.52595104632144</v>
      </c>
      <c r="BJ6" s="7">
        <f ca="1">IF(Detached!$C$129="ASHP",Detached!$E$133-Detached!$E$135,Detached!$E$133-Detached!$E$135+Detached!$E$143)</f>
        <v>458.52595104632144</v>
      </c>
      <c r="BK6" s="7">
        <f ca="1">IF(Detached!$C$129="ASHP",Detached!$E$133-Detached!$E$135,Detached!$E$133-Detached!$E$135+Detached!$E$143)</f>
        <v>458.52595104632144</v>
      </c>
      <c r="BL6" s="7">
        <f ca="1">SUM(C6:BK6)</f>
        <v>27511.557062779306</v>
      </c>
      <c r="BM6" s="172"/>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c r="XFC6" s="7"/>
      <c r="XFD6" s="7"/>
    </row>
    <row r="7" spans="2:16384">
      <c r="B7" t="s">
        <v>803</v>
      </c>
      <c r="C7" s="7">
        <v>0</v>
      </c>
      <c r="D7" s="7">
        <f ca="1">Attached!$E$133-Attached!$E$135</f>
        <v>991.44979338111523</v>
      </c>
      <c r="E7" s="7">
        <f ca="1">Attached!$E$133-Attached!$E$135</f>
        <v>991.44979338111523</v>
      </c>
      <c r="F7" s="7">
        <f ca="1">Attached!$E$133-Attached!$E$135</f>
        <v>991.44979338111523</v>
      </c>
      <c r="G7" s="7">
        <f ca="1">Attached!$E$133-Attached!$E$135</f>
        <v>991.44979338111523</v>
      </c>
      <c r="H7" s="7">
        <f ca="1">Attached!$E$133-Attached!$E$135</f>
        <v>991.44979338111523</v>
      </c>
      <c r="I7" s="7">
        <f ca="1">Attached!$E$133-Attached!$E$135</f>
        <v>991.44979338111523</v>
      </c>
      <c r="J7" s="7">
        <f ca="1">Attached!$E$133-Attached!$E$135</f>
        <v>991.44979338111523</v>
      </c>
      <c r="K7" s="7">
        <f ca="1">Attached!$E$133-Attached!$E$135</f>
        <v>991.44979338111523</v>
      </c>
      <c r="L7" s="7">
        <f ca="1">Attached!$E$133-Attached!$E$135</f>
        <v>991.44979338111523</v>
      </c>
      <c r="M7" s="7">
        <f ca="1">Attached!$E$133-Attached!$E$135</f>
        <v>991.44979338111523</v>
      </c>
      <c r="N7" s="7">
        <f ca="1">Attached!$E$133-Attached!$E$135</f>
        <v>991.44979338111523</v>
      </c>
      <c r="O7" s="7">
        <f ca="1">Attached!$E$133-Attached!$E$135</f>
        <v>991.44979338111523</v>
      </c>
      <c r="P7" s="7">
        <f ca="1">Attached!$E$133-Attached!$E$135</f>
        <v>991.44979338111523</v>
      </c>
      <c r="Q7" s="7">
        <f ca="1">Attached!$E$133-Attached!$E$135</f>
        <v>991.44979338111523</v>
      </c>
      <c r="R7" s="7">
        <f ca="1">Attached!$E$133-Attached!$E$135</f>
        <v>991.44979338111523</v>
      </c>
      <c r="S7" s="7">
        <f ca="1">Attached!$E$133-Attached!$E$135</f>
        <v>991.44979338111523</v>
      </c>
      <c r="T7" s="7">
        <f ca="1">Attached!$E$133-Attached!$E$135</f>
        <v>991.44979338111523</v>
      </c>
      <c r="U7" s="7">
        <f ca="1">Attached!$E$133-Attached!$E$135</f>
        <v>991.44979338111523</v>
      </c>
      <c r="V7" s="7">
        <f ca="1">Attached!$E$133-Attached!$E$135</f>
        <v>991.44979338111523</v>
      </c>
      <c r="W7" s="7">
        <f ca="1">Attached!$E$133-Attached!$E$135</f>
        <v>991.44979338111523</v>
      </c>
      <c r="X7" s="173">
        <f ca="1">IF(Attached!$C$129="ASHP",Attached!$E$133-Attached!$E$135,Attached!$E$133-Attached!$E$135+Attached!$E$143)</f>
        <v>991.44979338111523</v>
      </c>
      <c r="Y7" s="7">
        <f ca="1">IF(Attached!$C$129="ASHP",Attached!$E$133-Attached!$E$135,Attached!$E$133-Attached!$E$135+Attached!$E$143)</f>
        <v>991.44979338111523</v>
      </c>
      <c r="Z7" s="7">
        <f ca="1">IF(Attached!$C$129="ASHP",Attached!$E$133-Attached!$E$135,Attached!$E$133-Attached!$E$135+Attached!$E$143)</f>
        <v>991.44979338111523</v>
      </c>
      <c r="AA7" s="7">
        <f ca="1">IF(Attached!$C$129="ASHP",Attached!$E$133-Attached!$E$135,Attached!$E$133-Attached!$E$135+Attached!$E$143)</f>
        <v>991.44979338111523</v>
      </c>
      <c r="AB7" s="7">
        <f ca="1">IF(Attached!$C$129="ASHP",Attached!$E$133-Attached!$E$135,Attached!$E$133-Attached!$E$135+Attached!$E$143)</f>
        <v>991.44979338111523</v>
      </c>
      <c r="AC7" s="7">
        <f ca="1">IF(Attached!$C$129="ASHP",Attached!$E$133-Attached!$E$135,Attached!$E$133-Attached!$E$135+Attached!$E$143)</f>
        <v>991.44979338111523</v>
      </c>
      <c r="AD7" s="7">
        <f ca="1">IF(Attached!$C$129="ASHP",Attached!$E$133-Attached!$E$135,Attached!$E$133-Attached!$E$135+Attached!$E$143)</f>
        <v>991.44979338111523</v>
      </c>
      <c r="AE7" s="7">
        <f ca="1">IF(Attached!$C$129="ASHP",Attached!$E$133-Attached!$E$135,Attached!$E$133-Attached!$E$135+Attached!$E$143)</f>
        <v>991.44979338111523</v>
      </c>
      <c r="AF7" s="7">
        <f ca="1">IF(Attached!$C$129="ASHP",Attached!$E$133-Attached!$E$135,Attached!$E$133-Attached!$E$135+Attached!$E$143)</f>
        <v>991.44979338111523</v>
      </c>
      <c r="AG7" s="7">
        <f ca="1">IF(Attached!$C$129="ASHP",Attached!$E$133-Attached!$E$135,Attached!$E$133-Attached!$E$135+Attached!$E$143)</f>
        <v>991.44979338111523</v>
      </c>
      <c r="AH7" s="7">
        <f ca="1">IF(Attached!$C$129="ASHP",Attached!$E$133-Attached!$E$135,Attached!$E$133-Attached!$E$135+Attached!$E$143)</f>
        <v>991.44979338111523</v>
      </c>
      <c r="AI7" s="7">
        <f ca="1">IF(Attached!$C$129="ASHP",Attached!$E$133-Attached!$E$135,Attached!$E$133-Attached!$E$135+Attached!$E$143)</f>
        <v>991.44979338111523</v>
      </c>
      <c r="AJ7" s="7">
        <f ca="1">IF(Attached!$C$129="ASHP",Attached!$E$133-Attached!$E$135,Attached!$E$133-Attached!$E$135+Attached!$E$143)</f>
        <v>991.44979338111523</v>
      </c>
      <c r="AK7" s="7">
        <f ca="1">IF(Attached!$C$129="ASHP",Attached!$E$133-Attached!$E$135,Attached!$E$133-Attached!$E$135+Attached!$E$143)</f>
        <v>991.44979338111523</v>
      </c>
      <c r="AL7" s="7">
        <f ca="1">IF(Attached!$C$129="ASHP",Attached!$E$133-Attached!$E$135,Attached!$E$133-Attached!$E$135+Attached!$E$143)</f>
        <v>991.44979338111523</v>
      </c>
      <c r="AM7" s="7">
        <f ca="1">IF(Attached!$C$129="ASHP",Attached!$E$133-Attached!$E$135,Attached!$E$133-Attached!$E$135+Attached!$E$143)</f>
        <v>991.44979338111523</v>
      </c>
      <c r="AN7" s="7">
        <f ca="1">IF(Attached!$C$129="ASHP",Attached!$E$133-Attached!$E$135,Attached!$E$133-Attached!$E$135+Attached!$E$143)</f>
        <v>991.44979338111523</v>
      </c>
      <c r="AO7" s="7">
        <f ca="1">IF(Attached!$C$129="ASHP",Attached!$E$133-Attached!$E$135,Attached!$E$133-Attached!$E$135+Attached!$E$143)</f>
        <v>991.44979338111523</v>
      </c>
      <c r="AP7" s="7">
        <f ca="1">IF(Attached!$C$129="ASHP",Attached!$E$133-Attached!$E$135,Attached!$E$133-Attached!$E$135+Attached!$E$143)</f>
        <v>991.44979338111523</v>
      </c>
      <c r="AQ7" s="7">
        <f ca="1">IF(Attached!$C$129="ASHP",Attached!$E$133-Attached!$E$135,Attached!$E$133-Attached!$E$135+Attached!$E$143)</f>
        <v>991.44979338111523</v>
      </c>
      <c r="AR7" s="7">
        <f ca="1">IF(Attached!$C$129="ASHP",Attached!$E$133-Attached!$E$135,Attached!$E$133-Attached!$E$135+Attached!$E$143)</f>
        <v>991.44979338111523</v>
      </c>
      <c r="AS7" s="7">
        <f ca="1">IF(Attached!$C$129="ASHP",Attached!$E$133-Attached!$E$135,Attached!$E$133-Attached!$E$135+Attached!$E$143)</f>
        <v>991.44979338111523</v>
      </c>
      <c r="AT7" s="7">
        <f ca="1">IF(Attached!$C$129="ASHP",Attached!$E$133-Attached!$E$135,Attached!$E$133-Attached!$E$135+Attached!$E$143)</f>
        <v>991.44979338111523</v>
      </c>
      <c r="AU7" s="7">
        <f ca="1">IF(Attached!$C$129="ASHP",Attached!$E$133-Attached!$E$135,Attached!$E$133-Attached!$E$135+Attached!$E$143)</f>
        <v>991.44979338111523</v>
      </c>
      <c r="AV7" s="7">
        <f ca="1">IF(Attached!$C$129="ASHP",Attached!$E$133-Attached!$E$135,Attached!$E$133-Attached!$E$135+Attached!$E$143)</f>
        <v>991.44979338111523</v>
      </c>
      <c r="AW7" s="7">
        <f ca="1">IF(Attached!$C$129="ASHP",Attached!$E$133-Attached!$E$135,Attached!$E$133-Attached!$E$135+Attached!$E$143)</f>
        <v>991.44979338111523</v>
      </c>
      <c r="AX7" s="7">
        <f ca="1">IF(Attached!$C$129="ASHP",Attached!$E$133-Attached!$E$135,Attached!$E$133-Attached!$E$135+Attached!$E$143)</f>
        <v>991.44979338111523</v>
      </c>
      <c r="AY7" s="7">
        <f ca="1">IF(Attached!$C$129="ASHP",Attached!$E$133-Attached!$E$135,Attached!$E$133-Attached!$E$135+Attached!$E$143)</f>
        <v>991.44979338111523</v>
      </c>
      <c r="AZ7" s="7">
        <f ca="1">IF(Attached!$C$129="ASHP",Attached!$E$133-Attached!$E$135,Attached!$E$133-Attached!$E$135+Attached!$E$143)</f>
        <v>991.44979338111523</v>
      </c>
      <c r="BA7" s="7">
        <f ca="1">IF(Attached!$C$129="ASHP",Attached!$E$133-Attached!$E$135,Attached!$E$133-Attached!$E$135+Attached!$E$143)</f>
        <v>991.44979338111523</v>
      </c>
      <c r="BB7" s="7">
        <f ca="1">IF(Attached!$C$129="ASHP",Attached!$E$133-Attached!$E$135,Attached!$E$133-Attached!$E$135+Attached!$E$143)</f>
        <v>991.44979338111523</v>
      </c>
      <c r="BC7" s="7">
        <f ca="1">IF(Attached!$C$129="ASHP",Attached!$E$133-Attached!$E$135,Attached!$E$133-Attached!$E$135+Attached!$E$143)</f>
        <v>991.44979338111523</v>
      </c>
      <c r="BD7" s="7">
        <f ca="1">IF(Attached!$C$129="ASHP",Attached!$E$133-Attached!$E$135,Attached!$E$133-Attached!$E$135+Attached!$E$143)</f>
        <v>991.44979338111523</v>
      </c>
      <c r="BE7" s="7">
        <f ca="1">IF(Attached!$C$129="ASHP",Attached!$E$133-Attached!$E$135,Attached!$E$133-Attached!$E$135+Attached!$E$143)</f>
        <v>991.44979338111523</v>
      </c>
      <c r="BF7" s="7">
        <f ca="1">IF(Attached!$C$129="ASHP",Attached!$E$133-Attached!$E$135,Attached!$E$133-Attached!$E$135+Attached!$E$143)</f>
        <v>991.44979338111523</v>
      </c>
      <c r="BG7" s="7">
        <f ca="1">IF(Attached!$C$129="ASHP",Attached!$E$133-Attached!$E$135,Attached!$E$133-Attached!$E$135+Attached!$E$143)</f>
        <v>991.44979338111523</v>
      </c>
      <c r="BH7" s="7">
        <f ca="1">IF(Attached!$C$129="ASHP",Attached!$E$133-Attached!$E$135,Attached!$E$133-Attached!$E$135+Attached!$E$143)</f>
        <v>991.44979338111523</v>
      </c>
      <c r="BI7" s="7">
        <f ca="1">IF(Attached!$C$129="ASHP",Attached!$E$133-Attached!$E$135,Attached!$E$133-Attached!$E$135+Attached!$E$143)</f>
        <v>991.44979338111523</v>
      </c>
      <c r="BJ7" s="7">
        <f ca="1">IF(Attached!$C$129="ASHP",Attached!$E$133-Attached!$E$135,Attached!$E$133-Attached!$E$135+Attached!$E$143)</f>
        <v>991.44979338111523</v>
      </c>
      <c r="BK7" s="7">
        <f ca="1">IF(Attached!$C$129="ASHP",Attached!$E$133-Attached!$E$135,Attached!$E$133-Attached!$E$135+Attached!$E$143)</f>
        <v>991.44979338111523</v>
      </c>
      <c r="BL7" s="7">
        <f t="shared" ref="BL7:BL15" ca="1" si="1">SUM(C7:BK7)</f>
        <v>59486.987602866873</v>
      </c>
      <c r="BM7" s="172"/>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c r="XFC7" s="7"/>
      <c r="XFD7" s="7"/>
    </row>
    <row r="8" spans="2:16384">
      <c r="B8" t="s">
        <v>804</v>
      </c>
      <c r="C8" s="164">
        <v>0</v>
      </c>
      <c r="D8" s="7">
        <f ca="1">'1BedFlat'!$E$133-'1BedFlat'!$E$135</f>
        <v>65.902028901057051</v>
      </c>
      <c r="E8" s="7">
        <f ca="1">'1BedFlat'!$E$133-'1BedFlat'!$E$135</f>
        <v>65.902028901057051</v>
      </c>
      <c r="F8" s="7">
        <f ca="1">'1BedFlat'!$E$133-'1BedFlat'!$E$135</f>
        <v>65.902028901057051</v>
      </c>
      <c r="G8" s="7">
        <f ca="1">'1BedFlat'!$E$133-'1BedFlat'!$E$135</f>
        <v>65.902028901057051</v>
      </c>
      <c r="H8" s="7">
        <f ca="1">'1BedFlat'!$E$133-'1BedFlat'!$E$135</f>
        <v>65.902028901057051</v>
      </c>
      <c r="I8" s="7">
        <f ca="1">'1BedFlat'!$E$133-'1BedFlat'!$E$135</f>
        <v>65.902028901057051</v>
      </c>
      <c r="J8" s="7">
        <f ca="1">'1BedFlat'!$E$133-'1BedFlat'!$E$135</f>
        <v>65.902028901057051</v>
      </c>
      <c r="K8" s="7">
        <f ca="1">'1BedFlat'!$E$133-'1BedFlat'!$E$135</f>
        <v>65.902028901057051</v>
      </c>
      <c r="L8" s="7">
        <f ca="1">'1BedFlat'!$E$133-'1BedFlat'!$E$135</f>
        <v>65.902028901057051</v>
      </c>
      <c r="M8" s="7">
        <f ca="1">'1BedFlat'!$E$133-'1BedFlat'!$E$135</f>
        <v>65.902028901057051</v>
      </c>
      <c r="N8" s="7">
        <f ca="1">'1BedFlat'!$E$133-'1BedFlat'!$E$135</f>
        <v>65.902028901057051</v>
      </c>
      <c r="O8" s="7">
        <f ca="1">'1BedFlat'!$E$133-'1BedFlat'!$E$135</f>
        <v>65.902028901057051</v>
      </c>
      <c r="P8" s="7">
        <f ca="1">'1BedFlat'!$E$133-'1BedFlat'!$E$135</f>
        <v>65.902028901057051</v>
      </c>
      <c r="Q8" s="7">
        <f ca="1">'1BedFlat'!$E$133-'1BedFlat'!$E$135</f>
        <v>65.902028901057051</v>
      </c>
      <c r="R8" s="7">
        <f ca="1">'1BedFlat'!$E$133-'1BedFlat'!$E$135</f>
        <v>65.902028901057051</v>
      </c>
      <c r="S8" s="7">
        <f ca="1">'1BedFlat'!$E$133-'1BedFlat'!$E$135</f>
        <v>65.902028901057051</v>
      </c>
      <c r="T8" s="7">
        <f ca="1">'1BedFlat'!$E$133-'1BedFlat'!$E$135</f>
        <v>65.902028901057051</v>
      </c>
      <c r="U8" s="7">
        <f ca="1">'1BedFlat'!$E$133-'1BedFlat'!$E$135</f>
        <v>65.902028901057051</v>
      </c>
      <c r="V8" s="7">
        <f ca="1">'1BedFlat'!$E$133-'1BedFlat'!$E$135</f>
        <v>65.902028901057051</v>
      </c>
      <c r="W8" s="7">
        <f ca="1">'1BedFlat'!$E$133-'1BedFlat'!$E$135</f>
        <v>65.902028901057051</v>
      </c>
      <c r="X8" s="173">
        <f ca="1">IF('1BedFlat'!$C$129="ASHP",'1BedFlat'!$E$133-'1BedFlat'!$E$135,'1BedFlat'!$E$133-'1BedFlat'!$E$135+'1BedFlat'!$E$143)</f>
        <v>65.902028901057051</v>
      </c>
      <c r="Y8" s="7">
        <f ca="1">IF('1BedFlat'!$C$129="ASHP",'1BedFlat'!$E$133-'1BedFlat'!$E$135,'1BedFlat'!$E$133-'1BedFlat'!$E$135+'1BedFlat'!$E$143)</f>
        <v>65.902028901057051</v>
      </c>
      <c r="Z8" s="7">
        <f ca="1">IF('1BedFlat'!$C$129="ASHP",'1BedFlat'!$E$133-'1BedFlat'!$E$135,'1BedFlat'!$E$133-'1BedFlat'!$E$135+'1BedFlat'!$E$143)</f>
        <v>65.902028901057051</v>
      </c>
      <c r="AA8" s="7">
        <f ca="1">IF('1BedFlat'!$C$129="ASHP",'1BedFlat'!$E$133-'1BedFlat'!$E$135,'1BedFlat'!$E$133-'1BedFlat'!$E$135+'1BedFlat'!$E$143)</f>
        <v>65.902028901057051</v>
      </c>
      <c r="AB8" s="7">
        <f ca="1">IF('1BedFlat'!$C$129="ASHP",'1BedFlat'!$E$133-'1BedFlat'!$E$135,'1BedFlat'!$E$133-'1BedFlat'!$E$135+'1BedFlat'!$E$143)</f>
        <v>65.902028901057051</v>
      </c>
      <c r="AC8" s="7">
        <f ca="1">IF('1BedFlat'!$C$129="ASHP",'1BedFlat'!$E$133-'1BedFlat'!$E$135,'1BedFlat'!$E$133-'1BedFlat'!$E$135+'1BedFlat'!$E$143)</f>
        <v>65.902028901057051</v>
      </c>
      <c r="AD8" s="7">
        <f ca="1">IF('1BedFlat'!$C$129="ASHP",'1BedFlat'!$E$133-'1BedFlat'!$E$135,'1BedFlat'!$E$133-'1BedFlat'!$E$135+'1BedFlat'!$E$143)</f>
        <v>65.902028901057051</v>
      </c>
      <c r="AE8" s="7">
        <f ca="1">IF('1BedFlat'!$C$129="ASHP",'1BedFlat'!$E$133-'1BedFlat'!$E$135,'1BedFlat'!$E$133-'1BedFlat'!$E$135+'1BedFlat'!$E$143)</f>
        <v>65.902028901057051</v>
      </c>
      <c r="AF8" s="7">
        <f ca="1">IF('1BedFlat'!$C$129="ASHP",'1BedFlat'!$E$133-'1BedFlat'!$E$135,'1BedFlat'!$E$133-'1BedFlat'!$E$135+'1BedFlat'!$E$143)</f>
        <v>65.902028901057051</v>
      </c>
      <c r="AG8" s="7">
        <f ca="1">IF('1BedFlat'!$C$129="ASHP",'1BedFlat'!$E$133-'1BedFlat'!$E$135,'1BedFlat'!$E$133-'1BedFlat'!$E$135+'1BedFlat'!$E$143)</f>
        <v>65.902028901057051</v>
      </c>
      <c r="AH8" s="7">
        <f ca="1">IF('1BedFlat'!$C$129="ASHP",'1BedFlat'!$E$133-'1BedFlat'!$E$135,'1BedFlat'!$E$133-'1BedFlat'!$E$135+'1BedFlat'!$E$143)</f>
        <v>65.902028901057051</v>
      </c>
      <c r="AI8" s="7">
        <f ca="1">IF('1BedFlat'!$C$129="ASHP",'1BedFlat'!$E$133-'1BedFlat'!$E$135,'1BedFlat'!$E$133-'1BedFlat'!$E$135+'1BedFlat'!$E$143)</f>
        <v>65.902028901057051</v>
      </c>
      <c r="AJ8" s="7">
        <f ca="1">IF('1BedFlat'!$C$129="ASHP",'1BedFlat'!$E$133-'1BedFlat'!$E$135,'1BedFlat'!$E$133-'1BedFlat'!$E$135+'1BedFlat'!$E$143)</f>
        <v>65.902028901057051</v>
      </c>
      <c r="AK8" s="7">
        <f ca="1">IF('1BedFlat'!$C$129="ASHP",'1BedFlat'!$E$133-'1BedFlat'!$E$135,'1BedFlat'!$E$133-'1BedFlat'!$E$135+'1BedFlat'!$E$143)</f>
        <v>65.902028901057051</v>
      </c>
      <c r="AL8" s="7">
        <f ca="1">IF('1BedFlat'!$C$129="ASHP",'1BedFlat'!$E$133-'1BedFlat'!$E$135,'1BedFlat'!$E$133-'1BedFlat'!$E$135+'1BedFlat'!$E$143)</f>
        <v>65.902028901057051</v>
      </c>
      <c r="AM8" s="7">
        <f ca="1">IF('1BedFlat'!$C$129="ASHP",'1BedFlat'!$E$133-'1BedFlat'!$E$135,'1BedFlat'!$E$133-'1BedFlat'!$E$135+'1BedFlat'!$E$143)</f>
        <v>65.902028901057051</v>
      </c>
      <c r="AN8" s="7">
        <f ca="1">IF('1BedFlat'!$C$129="ASHP",'1BedFlat'!$E$133-'1BedFlat'!$E$135,'1BedFlat'!$E$133-'1BedFlat'!$E$135+'1BedFlat'!$E$143)</f>
        <v>65.902028901057051</v>
      </c>
      <c r="AO8" s="7">
        <f ca="1">IF('1BedFlat'!$C$129="ASHP",'1BedFlat'!$E$133-'1BedFlat'!$E$135,'1BedFlat'!$E$133-'1BedFlat'!$E$135+'1BedFlat'!$E$143)</f>
        <v>65.902028901057051</v>
      </c>
      <c r="AP8" s="7">
        <f ca="1">IF('1BedFlat'!$C$129="ASHP",'1BedFlat'!$E$133-'1BedFlat'!$E$135,'1BedFlat'!$E$133-'1BedFlat'!$E$135+'1BedFlat'!$E$143)</f>
        <v>65.902028901057051</v>
      </c>
      <c r="AQ8" s="7">
        <f ca="1">IF('1BedFlat'!$C$129="ASHP",'1BedFlat'!$E$133-'1BedFlat'!$E$135,'1BedFlat'!$E$133-'1BedFlat'!$E$135+'1BedFlat'!$E$143)</f>
        <v>65.902028901057051</v>
      </c>
      <c r="AR8" s="7">
        <f ca="1">IF('1BedFlat'!$C$129="ASHP",'1BedFlat'!$E$133-'1BedFlat'!$E$135,'1BedFlat'!$E$133-'1BedFlat'!$E$135+'1BedFlat'!$E$143)</f>
        <v>65.902028901057051</v>
      </c>
      <c r="AS8" s="7">
        <f ca="1">IF('1BedFlat'!$C$129="ASHP",'1BedFlat'!$E$133-'1BedFlat'!$E$135,'1BedFlat'!$E$133-'1BedFlat'!$E$135+'1BedFlat'!$E$143)</f>
        <v>65.902028901057051</v>
      </c>
      <c r="AT8" s="7">
        <f ca="1">IF('1BedFlat'!$C$129="ASHP",'1BedFlat'!$E$133-'1BedFlat'!$E$135,'1BedFlat'!$E$133-'1BedFlat'!$E$135+'1BedFlat'!$E$143)</f>
        <v>65.902028901057051</v>
      </c>
      <c r="AU8" s="7">
        <f ca="1">IF('1BedFlat'!$C$129="ASHP",'1BedFlat'!$E$133-'1BedFlat'!$E$135,'1BedFlat'!$E$133-'1BedFlat'!$E$135+'1BedFlat'!$E$143)</f>
        <v>65.902028901057051</v>
      </c>
      <c r="AV8" s="7">
        <f ca="1">IF('1BedFlat'!$C$129="ASHP",'1BedFlat'!$E$133-'1BedFlat'!$E$135,'1BedFlat'!$E$133-'1BedFlat'!$E$135+'1BedFlat'!$E$143)</f>
        <v>65.902028901057051</v>
      </c>
      <c r="AW8" s="7">
        <f ca="1">IF('1BedFlat'!$C$129="ASHP",'1BedFlat'!$E$133-'1BedFlat'!$E$135,'1BedFlat'!$E$133-'1BedFlat'!$E$135+'1BedFlat'!$E$143)</f>
        <v>65.902028901057051</v>
      </c>
      <c r="AX8" s="7">
        <f ca="1">IF('1BedFlat'!$C$129="ASHP",'1BedFlat'!$E$133-'1BedFlat'!$E$135,'1BedFlat'!$E$133-'1BedFlat'!$E$135+'1BedFlat'!$E$143)</f>
        <v>65.902028901057051</v>
      </c>
      <c r="AY8" s="7">
        <f ca="1">IF('1BedFlat'!$C$129="ASHP",'1BedFlat'!$E$133-'1BedFlat'!$E$135,'1BedFlat'!$E$133-'1BedFlat'!$E$135+'1BedFlat'!$E$143)</f>
        <v>65.902028901057051</v>
      </c>
      <c r="AZ8" s="7">
        <f ca="1">IF('1BedFlat'!$C$129="ASHP",'1BedFlat'!$E$133-'1BedFlat'!$E$135,'1BedFlat'!$E$133-'1BedFlat'!$E$135+'1BedFlat'!$E$143)</f>
        <v>65.902028901057051</v>
      </c>
      <c r="BA8" s="7">
        <f ca="1">IF('1BedFlat'!$C$129="ASHP",'1BedFlat'!$E$133-'1BedFlat'!$E$135,'1BedFlat'!$E$133-'1BedFlat'!$E$135+'1BedFlat'!$E$143)</f>
        <v>65.902028901057051</v>
      </c>
      <c r="BB8" s="7">
        <f ca="1">IF('1BedFlat'!$C$129="ASHP",'1BedFlat'!$E$133-'1BedFlat'!$E$135,'1BedFlat'!$E$133-'1BedFlat'!$E$135+'1BedFlat'!$E$143)</f>
        <v>65.902028901057051</v>
      </c>
      <c r="BC8" s="7">
        <f ca="1">IF('1BedFlat'!$C$129="ASHP",'1BedFlat'!$E$133-'1BedFlat'!$E$135,'1BedFlat'!$E$133-'1BedFlat'!$E$135+'1BedFlat'!$E$143)</f>
        <v>65.902028901057051</v>
      </c>
      <c r="BD8" s="7">
        <f ca="1">IF('1BedFlat'!$C$129="ASHP",'1BedFlat'!$E$133-'1BedFlat'!$E$135,'1BedFlat'!$E$133-'1BedFlat'!$E$135+'1BedFlat'!$E$143)</f>
        <v>65.902028901057051</v>
      </c>
      <c r="BE8" s="7">
        <f ca="1">IF('1BedFlat'!$C$129="ASHP",'1BedFlat'!$E$133-'1BedFlat'!$E$135,'1BedFlat'!$E$133-'1BedFlat'!$E$135+'1BedFlat'!$E$143)</f>
        <v>65.902028901057051</v>
      </c>
      <c r="BF8" s="7">
        <f ca="1">IF('1BedFlat'!$C$129="ASHP",'1BedFlat'!$E$133-'1BedFlat'!$E$135,'1BedFlat'!$E$133-'1BedFlat'!$E$135+'1BedFlat'!$E$143)</f>
        <v>65.902028901057051</v>
      </c>
      <c r="BG8" s="7">
        <f ca="1">IF('1BedFlat'!$C$129="ASHP",'1BedFlat'!$E$133-'1BedFlat'!$E$135,'1BedFlat'!$E$133-'1BedFlat'!$E$135+'1BedFlat'!$E$143)</f>
        <v>65.902028901057051</v>
      </c>
      <c r="BH8" s="7">
        <f ca="1">IF('1BedFlat'!$C$129="ASHP",'1BedFlat'!$E$133-'1BedFlat'!$E$135,'1BedFlat'!$E$133-'1BedFlat'!$E$135+'1BedFlat'!$E$143)</f>
        <v>65.902028901057051</v>
      </c>
      <c r="BI8" s="7">
        <f ca="1">IF('1BedFlat'!$C$129="ASHP",'1BedFlat'!$E$133-'1BedFlat'!$E$135,'1BedFlat'!$E$133-'1BedFlat'!$E$135+'1BedFlat'!$E$143)</f>
        <v>65.902028901057051</v>
      </c>
      <c r="BJ8" s="7">
        <f ca="1">IF('1BedFlat'!$C$129="ASHP",'1BedFlat'!$E$133-'1BedFlat'!$E$135,'1BedFlat'!$E$133-'1BedFlat'!$E$135+'1BedFlat'!$E$143)</f>
        <v>65.902028901057051</v>
      </c>
      <c r="BK8" s="7">
        <f ca="1">IF('1BedFlat'!$C$129="ASHP",'1BedFlat'!$E$133-'1BedFlat'!$E$135,'1BedFlat'!$E$133-'1BedFlat'!$E$135+'1BedFlat'!$E$143)</f>
        <v>65.902028901057051</v>
      </c>
      <c r="BL8" s="7">
        <f t="shared" ca="1" si="1"/>
        <v>3954.1217340634171</v>
      </c>
      <c r="BM8" s="172"/>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c r="XFC8" s="7"/>
      <c r="XFD8" s="7"/>
    </row>
    <row r="9" spans="2:16384">
      <c r="B9" t="s">
        <v>805</v>
      </c>
      <c r="C9" s="164">
        <v>0</v>
      </c>
      <c r="D9" s="7">
        <f ca="1">'2BedFlat'!$E$133-'2BedFlat'!$E$135</f>
        <v>119.63695333153029</v>
      </c>
      <c r="E9" s="7">
        <f ca="1">'2BedFlat'!$E$133-'2BedFlat'!$E$135</f>
        <v>119.63695333153029</v>
      </c>
      <c r="F9" s="7">
        <f ca="1">'2BedFlat'!$E$133-'2BedFlat'!$E$135</f>
        <v>119.63695333153029</v>
      </c>
      <c r="G9" s="7">
        <f ca="1">'2BedFlat'!$E$133-'2BedFlat'!$E$135</f>
        <v>119.63695333153029</v>
      </c>
      <c r="H9" s="7">
        <f ca="1">'2BedFlat'!$E$133-'2BedFlat'!$E$135</f>
        <v>119.63695333153029</v>
      </c>
      <c r="I9" s="7">
        <f ca="1">'2BedFlat'!$E$133-'2BedFlat'!$E$135</f>
        <v>119.63695333153029</v>
      </c>
      <c r="J9" s="7">
        <f ca="1">'2BedFlat'!$E$133-'2BedFlat'!$E$135</f>
        <v>119.63695333153029</v>
      </c>
      <c r="K9" s="7">
        <f ca="1">'2BedFlat'!$E$133-'2BedFlat'!$E$135</f>
        <v>119.63695333153029</v>
      </c>
      <c r="L9" s="7">
        <f ca="1">'2BedFlat'!$E$133-'2BedFlat'!$E$135</f>
        <v>119.63695333153029</v>
      </c>
      <c r="M9" s="7">
        <f ca="1">'2BedFlat'!$E$133-'2BedFlat'!$E$135</f>
        <v>119.63695333153029</v>
      </c>
      <c r="N9" s="7">
        <f ca="1">'2BedFlat'!$E$133-'2BedFlat'!$E$135</f>
        <v>119.63695333153029</v>
      </c>
      <c r="O9" s="7">
        <f ca="1">'2BedFlat'!$E$133-'2BedFlat'!$E$135</f>
        <v>119.63695333153029</v>
      </c>
      <c r="P9" s="7">
        <f ca="1">'2BedFlat'!$E$133-'2BedFlat'!$E$135</f>
        <v>119.63695333153029</v>
      </c>
      <c r="Q9" s="7">
        <f ca="1">'2BedFlat'!$E$133-'2BedFlat'!$E$135</f>
        <v>119.63695333153029</v>
      </c>
      <c r="R9" s="7">
        <f ca="1">'2BedFlat'!$E$133-'2BedFlat'!$E$135</f>
        <v>119.63695333153029</v>
      </c>
      <c r="S9" s="7">
        <f ca="1">'2BedFlat'!$E$133-'2BedFlat'!$E$135</f>
        <v>119.63695333153029</v>
      </c>
      <c r="T9" s="7">
        <f ca="1">'2BedFlat'!$E$133-'2BedFlat'!$E$135</f>
        <v>119.63695333153029</v>
      </c>
      <c r="U9" s="7">
        <f ca="1">'2BedFlat'!$E$133-'2BedFlat'!$E$135</f>
        <v>119.63695333153029</v>
      </c>
      <c r="V9" s="7">
        <f ca="1">'2BedFlat'!$E$133-'2BedFlat'!$E$135</f>
        <v>119.63695333153029</v>
      </c>
      <c r="W9" s="7">
        <f ca="1">'2BedFlat'!$E$133-'2BedFlat'!$E$135</f>
        <v>119.63695333153029</v>
      </c>
      <c r="X9" s="173">
        <f ca="1">IF('2BedFlat'!$C$129="ASHP",'2BedFlat'!$E$133-'2BedFlat'!$E$135,'2BedFlat'!$E$133-'2BedFlat'!$E$135+'2BedFlat'!$E$143)</f>
        <v>119.63695333153029</v>
      </c>
      <c r="Y9" s="7">
        <f ca="1">IF('2BedFlat'!$C$129="ASHP",'2BedFlat'!$E$133-'2BedFlat'!$E$135,'2BedFlat'!$E$133-'2BedFlat'!$E$135+'2BedFlat'!$E$143)</f>
        <v>119.63695333153029</v>
      </c>
      <c r="Z9" s="7">
        <f ca="1">IF('2BedFlat'!$C$129="ASHP",'2BedFlat'!$E$133-'2BedFlat'!$E$135,'2BedFlat'!$E$133-'2BedFlat'!$E$135+'2BedFlat'!$E$143)</f>
        <v>119.63695333153029</v>
      </c>
      <c r="AA9" s="7">
        <f ca="1">IF('2BedFlat'!$C$129="ASHP",'2BedFlat'!$E$133-'2BedFlat'!$E$135,'2BedFlat'!$E$133-'2BedFlat'!$E$135+'2BedFlat'!$E$143)</f>
        <v>119.63695333153029</v>
      </c>
      <c r="AB9" s="7">
        <f ca="1">IF('2BedFlat'!$C$129="ASHP",'2BedFlat'!$E$133-'2BedFlat'!$E$135,'2BedFlat'!$E$133-'2BedFlat'!$E$135+'2BedFlat'!$E$143)</f>
        <v>119.63695333153029</v>
      </c>
      <c r="AC9" s="7">
        <f ca="1">IF('2BedFlat'!$C$129="ASHP",'2BedFlat'!$E$133-'2BedFlat'!$E$135,'2BedFlat'!$E$133-'2BedFlat'!$E$135+'2BedFlat'!$E$143)</f>
        <v>119.63695333153029</v>
      </c>
      <c r="AD9" s="7">
        <f ca="1">IF('2BedFlat'!$C$129="ASHP",'2BedFlat'!$E$133-'2BedFlat'!$E$135,'2BedFlat'!$E$133-'2BedFlat'!$E$135+'2BedFlat'!$E$143)</f>
        <v>119.63695333153029</v>
      </c>
      <c r="AE9" s="7">
        <f ca="1">IF('2BedFlat'!$C$129="ASHP",'2BedFlat'!$E$133-'2BedFlat'!$E$135,'2BedFlat'!$E$133-'2BedFlat'!$E$135+'2BedFlat'!$E$143)</f>
        <v>119.63695333153029</v>
      </c>
      <c r="AF9" s="7">
        <f ca="1">IF('2BedFlat'!$C$129="ASHP",'2BedFlat'!$E$133-'2BedFlat'!$E$135,'2BedFlat'!$E$133-'2BedFlat'!$E$135+'2BedFlat'!$E$143)</f>
        <v>119.63695333153029</v>
      </c>
      <c r="AG9" s="7">
        <f ca="1">IF('2BedFlat'!$C$129="ASHP",'2BedFlat'!$E$133-'2BedFlat'!$E$135,'2BedFlat'!$E$133-'2BedFlat'!$E$135+'2BedFlat'!$E$143)</f>
        <v>119.63695333153029</v>
      </c>
      <c r="AH9" s="7">
        <f ca="1">IF('2BedFlat'!$C$129="ASHP",'2BedFlat'!$E$133-'2BedFlat'!$E$135,'2BedFlat'!$E$133-'2BedFlat'!$E$135+'2BedFlat'!$E$143)</f>
        <v>119.63695333153029</v>
      </c>
      <c r="AI9" s="7">
        <f ca="1">IF('2BedFlat'!$C$129="ASHP",'2BedFlat'!$E$133-'2BedFlat'!$E$135,'2BedFlat'!$E$133-'2BedFlat'!$E$135+'2BedFlat'!$E$143)</f>
        <v>119.63695333153029</v>
      </c>
      <c r="AJ9" s="7">
        <f ca="1">IF('2BedFlat'!$C$129="ASHP",'2BedFlat'!$E$133-'2BedFlat'!$E$135,'2BedFlat'!$E$133-'2BedFlat'!$E$135+'2BedFlat'!$E$143)</f>
        <v>119.63695333153029</v>
      </c>
      <c r="AK9" s="7">
        <f ca="1">IF('2BedFlat'!$C$129="ASHP",'2BedFlat'!$E$133-'2BedFlat'!$E$135,'2BedFlat'!$E$133-'2BedFlat'!$E$135+'2BedFlat'!$E$143)</f>
        <v>119.63695333153029</v>
      </c>
      <c r="AL9" s="7">
        <f ca="1">IF('2BedFlat'!$C$129="ASHP",'2BedFlat'!$E$133-'2BedFlat'!$E$135,'2BedFlat'!$E$133-'2BedFlat'!$E$135+'2BedFlat'!$E$143)</f>
        <v>119.63695333153029</v>
      </c>
      <c r="AM9" s="7">
        <f ca="1">IF('2BedFlat'!$C$129="ASHP",'2BedFlat'!$E$133-'2BedFlat'!$E$135,'2BedFlat'!$E$133-'2BedFlat'!$E$135+'2BedFlat'!$E$143)</f>
        <v>119.63695333153029</v>
      </c>
      <c r="AN9" s="7">
        <f ca="1">IF('2BedFlat'!$C$129="ASHP",'2BedFlat'!$E$133-'2BedFlat'!$E$135,'2BedFlat'!$E$133-'2BedFlat'!$E$135+'2BedFlat'!$E$143)</f>
        <v>119.63695333153029</v>
      </c>
      <c r="AO9" s="7">
        <f ca="1">IF('2BedFlat'!$C$129="ASHP",'2BedFlat'!$E$133-'2BedFlat'!$E$135,'2BedFlat'!$E$133-'2BedFlat'!$E$135+'2BedFlat'!$E$143)</f>
        <v>119.63695333153029</v>
      </c>
      <c r="AP9" s="7">
        <f ca="1">IF('2BedFlat'!$C$129="ASHP",'2BedFlat'!$E$133-'2BedFlat'!$E$135,'2BedFlat'!$E$133-'2BedFlat'!$E$135+'2BedFlat'!$E$143)</f>
        <v>119.63695333153029</v>
      </c>
      <c r="AQ9" s="7">
        <f ca="1">IF('2BedFlat'!$C$129="ASHP",'2BedFlat'!$E$133-'2BedFlat'!$E$135,'2BedFlat'!$E$133-'2BedFlat'!$E$135+'2BedFlat'!$E$143)</f>
        <v>119.63695333153029</v>
      </c>
      <c r="AR9" s="7">
        <f ca="1">IF('2BedFlat'!$C$129="ASHP",'2BedFlat'!$E$133-'2BedFlat'!$E$135,'2BedFlat'!$E$133-'2BedFlat'!$E$135+'2BedFlat'!$E$143)</f>
        <v>119.63695333153029</v>
      </c>
      <c r="AS9" s="7">
        <f ca="1">IF('2BedFlat'!$C$129="ASHP",'2BedFlat'!$E$133-'2BedFlat'!$E$135,'2BedFlat'!$E$133-'2BedFlat'!$E$135+'2BedFlat'!$E$143)</f>
        <v>119.63695333153029</v>
      </c>
      <c r="AT9" s="7">
        <f ca="1">IF('2BedFlat'!$C$129="ASHP",'2BedFlat'!$E$133-'2BedFlat'!$E$135,'2BedFlat'!$E$133-'2BedFlat'!$E$135+'2BedFlat'!$E$143)</f>
        <v>119.63695333153029</v>
      </c>
      <c r="AU9" s="7">
        <f ca="1">IF('2BedFlat'!$C$129="ASHP",'2BedFlat'!$E$133-'2BedFlat'!$E$135,'2BedFlat'!$E$133-'2BedFlat'!$E$135+'2BedFlat'!$E$143)</f>
        <v>119.63695333153029</v>
      </c>
      <c r="AV9" s="7">
        <f ca="1">IF('2BedFlat'!$C$129="ASHP",'2BedFlat'!$E$133-'2BedFlat'!$E$135,'2BedFlat'!$E$133-'2BedFlat'!$E$135+'2BedFlat'!$E$143)</f>
        <v>119.63695333153029</v>
      </c>
      <c r="AW9" s="7">
        <f ca="1">IF('2BedFlat'!$C$129="ASHP",'2BedFlat'!$E$133-'2BedFlat'!$E$135,'2BedFlat'!$E$133-'2BedFlat'!$E$135+'2BedFlat'!$E$143)</f>
        <v>119.63695333153029</v>
      </c>
      <c r="AX9" s="7">
        <f ca="1">IF('2BedFlat'!$C$129="ASHP",'2BedFlat'!$E$133-'2BedFlat'!$E$135,'2BedFlat'!$E$133-'2BedFlat'!$E$135+'2BedFlat'!$E$143)</f>
        <v>119.63695333153029</v>
      </c>
      <c r="AY9" s="7">
        <f ca="1">IF('2BedFlat'!$C$129="ASHP",'2BedFlat'!$E$133-'2BedFlat'!$E$135,'2BedFlat'!$E$133-'2BedFlat'!$E$135+'2BedFlat'!$E$143)</f>
        <v>119.63695333153029</v>
      </c>
      <c r="AZ9" s="7">
        <f ca="1">IF('2BedFlat'!$C$129="ASHP",'2BedFlat'!$E$133-'2BedFlat'!$E$135,'2BedFlat'!$E$133-'2BedFlat'!$E$135+'2BedFlat'!$E$143)</f>
        <v>119.63695333153029</v>
      </c>
      <c r="BA9" s="7">
        <f ca="1">IF('2BedFlat'!$C$129="ASHP",'2BedFlat'!$E$133-'2BedFlat'!$E$135,'2BedFlat'!$E$133-'2BedFlat'!$E$135+'2BedFlat'!$E$143)</f>
        <v>119.63695333153029</v>
      </c>
      <c r="BB9" s="7">
        <f ca="1">IF('2BedFlat'!$C$129="ASHP",'2BedFlat'!$E$133-'2BedFlat'!$E$135,'2BedFlat'!$E$133-'2BedFlat'!$E$135+'2BedFlat'!$E$143)</f>
        <v>119.63695333153029</v>
      </c>
      <c r="BC9" s="7">
        <f ca="1">IF('2BedFlat'!$C$129="ASHP",'2BedFlat'!$E$133-'2BedFlat'!$E$135,'2BedFlat'!$E$133-'2BedFlat'!$E$135+'2BedFlat'!$E$143)</f>
        <v>119.63695333153029</v>
      </c>
      <c r="BD9" s="7">
        <f ca="1">IF('2BedFlat'!$C$129="ASHP",'2BedFlat'!$E$133-'2BedFlat'!$E$135,'2BedFlat'!$E$133-'2BedFlat'!$E$135+'2BedFlat'!$E$143)</f>
        <v>119.63695333153029</v>
      </c>
      <c r="BE9" s="7">
        <f ca="1">IF('2BedFlat'!$C$129="ASHP",'2BedFlat'!$E$133-'2BedFlat'!$E$135,'2BedFlat'!$E$133-'2BedFlat'!$E$135+'2BedFlat'!$E$143)</f>
        <v>119.63695333153029</v>
      </c>
      <c r="BF9" s="7">
        <f ca="1">IF('2BedFlat'!$C$129="ASHP",'2BedFlat'!$E$133-'2BedFlat'!$E$135,'2BedFlat'!$E$133-'2BedFlat'!$E$135+'2BedFlat'!$E$143)</f>
        <v>119.63695333153029</v>
      </c>
      <c r="BG9" s="7">
        <f ca="1">IF('2BedFlat'!$C$129="ASHP",'2BedFlat'!$E$133-'2BedFlat'!$E$135,'2BedFlat'!$E$133-'2BedFlat'!$E$135+'2BedFlat'!$E$143)</f>
        <v>119.63695333153029</v>
      </c>
      <c r="BH9" s="7">
        <f ca="1">IF('2BedFlat'!$C$129="ASHP",'2BedFlat'!$E$133-'2BedFlat'!$E$135,'2BedFlat'!$E$133-'2BedFlat'!$E$135+'2BedFlat'!$E$143)</f>
        <v>119.63695333153029</v>
      </c>
      <c r="BI9" s="7">
        <f ca="1">IF('2BedFlat'!$C$129="ASHP",'2BedFlat'!$E$133-'2BedFlat'!$E$135,'2BedFlat'!$E$133-'2BedFlat'!$E$135+'2BedFlat'!$E$143)</f>
        <v>119.63695333153029</v>
      </c>
      <c r="BJ9" s="7">
        <f ca="1">IF('2BedFlat'!$C$129="ASHP",'2BedFlat'!$E$133-'2BedFlat'!$E$135,'2BedFlat'!$E$133-'2BedFlat'!$E$135+'2BedFlat'!$E$143)</f>
        <v>119.63695333153029</v>
      </c>
      <c r="BK9" s="7">
        <f ca="1">IF('2BedFlat'!$C$129="ASHP",'2BedFlat'!$E$133-'2BedFlat'!$E$135,'2BedFlat'!$E$133-'2BedFlat'!$E$135+'2BedFlat'!$E$143)</f>
        <v>119.63695333153029</v>
      </c>
      <c r="BL9" s="7">
        <f t="shared" ca="1" si="1"/>
        <v>7178.2171998918093</v>
      </c>
      <c r="BM9" s="172"/>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pans="2:16384">
      <c r="B10" t="s">
        <v>806</v>
      </c>
      <c r="C10" s="164">
        <f>SUM(C6:C9)</f>
        <v>0</v>
      </c>
      <c r="D10" s="7">
        <f ca="1">SUM(D6:D9)</f>
        <v>1635.5147266600241</v>
      </c>
      <c r="E10" s="7">
        <f t="shared" ref="E10:BK10" ca="1" si="2">SUM(E6:E9)</f>
        <v>1635.5147266600241</v>
      </c>
      <c r="F10" s="7">
        <f t="shared" ca="1" si="2"/>
        <v>1635.5147266600241</v>
      </c>
      <c r="G10" s="7">
        <f t="shared" ca="1" si="2"/>
        <v>1635.5147266600241</v>
      </c>
      <c r="H10" s="7">
        <f t="shared" ca="1" si="2"/>
        <v>1635.5147266600241</v>
      </c>
      <c r="I10" s="7">
        <f t="shared" ca="1" si="2"/>
        <v>1635.5147266600241</v>
      </c>
      <c r="J10" s="7">
        <f t="shared" ca="1" si="2"/>
        <v>1635.5147266600241</v>
      </c>
      <c r="K10" s="7">
        <f t="shared" ca="1" si="2"/>
        <v>1635.5147266600241</v>
      </c>
      <c r="L10" s="7">
        <f t="shared" ca="1" si="2"/>
        <v>1635.5147266600241</v>
      </c>
      <c r="M10" s="7">
        <f t="shared" ca="1" si="2"/>
        <v>1635.5147266600241</v>
      </c>
      <c r="N10" s="7">
        <f t="shared" ca="1" si="2"/>
        <v>1635.5147266600241</v>
      </c>
      <c r="O10" s="7">
        <f t="shared" ca="1" si="2"/>
        <v>1635.5147266600241</v>
      </c>
      <c r="P10" s="7">
        <f t="shared" ca="1" si="2"/>
        <v>1635.5147266600241</v>
      </c>
      <c r="Q10" s="7">
        <f t="shared" ca="1" si="2"/>
        <v>1635.5147266600241</v>
      </c>
      <c r="R10" s="7">
        <f t="shared" ca="1" si="2"/>
        <v>1635.5147266600241</v>
      </c>
      <c r="S10" s="7">
        <f t="shared" ca="1" si="2"/>
        <v>1635.5147266600241</v>
      </c>
      <c r="T10" s="7">
        <f t="shared" ca="1" si="2"/>
        <v>1635.5147266600241</v>
      </c>
      <c r="U10" s="7">
        <f t="shared" ca="1" si="2"/>
        <v>1635.5147266600241</v>
      </c>
      <c r="V10" s="7">
        <f t="shared" ca="1" si="2"/>
        <v>1635.5147266600241</v>
      </c>
      <c r="W10" s="7">
        <f t="shared" ca="1" si="2"/>
        <v>1635.5147266600241</v>
      </c>
      <c r="X10" s="173">
        <f t="shared" ca="1" si="2"/>
        <v>1635.5147266600241</v>
      </c>
      <c r="Y10" s="7">
        <f t="shared" ca="1" si="2"/>
        <v>1635.5147266600241</v>
      </c>
      <c r="Z10" s="7">
        <f t="shared" ca="1" si="2"/>
        <v>1635.5147266600241</v>
      </c>
      <c r="AA10" s="7">
        <f t="shared" ca="1" si="2"/>
        <v>1635.5147266600241</v>
      </c>
      <c r="AB10" s="7">
        <f t="shared" ca="1" si="2"/>
        <v>1635.5147266600241</v>
      </c>
      <c r="AC10" s="7">
        <f t="shared" ca="1" si="2"/>
        <v>1635.5147266600241</v>
      </c>
      <c r="AD10" s="7">
        <f t="shared" ca="1" si="2"/>
        <v>1635.5147266600241</v>
      </c>
      <c r="AE10" s="7">
        <f t="shared" ca="1" si="2"/>
        <v>1635.5147266600241</v>
      </c>
      <c r="AF10" s="7">
        <f t="shared" ca="1" si="2"/>
        <v>1635.5147266600241</v>
      </c>
      <c r="AG10" s="7">
        <f t="shared" ca="1" si="2"/>
        <v>1635.5147266600241</v>
      </c>
      <c r="AH10" s="7">
        <f t="shared" ca="1" si="2"/>
        <v>1635.5147266600241</v>
      </c>
      <c r="AI10" s="7">
        <f t="shared" ca="1" si="2"/>
        <v>1635.5147266600241</v>
      </c>
      <c r="AJ10" s="7">
        <f t="shared" ca="1" si="2"/>
        <v>1635.5147266600241</v>
      </c>
      <c r="AK10" s="7">
        <f t="shared" ca="1" si="2"/>
        <v>1635.5147266600241</v>
      </c>
      <c r="AL10" s="7">
        <f t="shared" ca="1" si="2"/>
        <v>1635.5147266600241</v>
      </c>
      <c r="AM10" s="7">
        <f t="shared" ca="1" si="2"/>
        <v>1635.5147266600241</v>
      </c>
      <c r="AN10" s="7">
        <f t="shared" ca="1" si="2"/>
        <v>1635.5147266600241</v>
      </c>
      <c r="AO10" s="7">
        <f t="shared" ca="1" si="2"/>
        <v>1635.5147266600241</v>
      </c>
      <c r="AP10" s="7">
        <f t="shared" ca="1" si="2"/>
        <v>1635.5147266600241</v>
      </c>
      <c r="AQ10" s="7">
        <f t="shared" ca="1" si="2"/>
        <v>1635.5147266600241</v>
      </c>
      <c r="AR10" s="7">
        <f t="shared" ca="1" si="2"/>
        <v>1635.5147266600241</v>
      </c>
      <c r="AS10" s="7">
        <f t="shared" ca="1" si="2"/>
        <v>1635.5147266600241</v>
      </c>
      <c r="AT10" s="7">
        <f t="shared" ca="1" si="2"/>
        <v>1635.5147266600241</v>
      </c>
      <c r="AU10" s="7">
        <f t="shared" ca="1" si="2"/>
        <v>1635.5147266600241</v>
      </c>
      <c r="AV10" s="7">
        <f t="shared" ca="1" si="2"/>
        <v>1635.5147266600241</v>
      </c>
      <c r="AW10" s="7">
        <f t="shared" ca="1" si="2"/>
        <v>1635.5147266600241</v>
      </c>
      <c r="AX10" s="7">
        <f t="shared" ca="1" si="2"/>
        <v>1635.5147266600241</v>
      </c>
      <c r="AY10" s="7">
        <f t="shared" ca="1" si="2"/>
        <v>1635.5147266600241</v>
      </c>
      <c r="AZ10" s="7">
        <f t="shared" ca="1" si="2"/>
        <v>1635.5147266600241</v>
      </c>
      <c r="BA10" s="7">
        <f t="shared" ca="1" si="2"/>
        <v>1635.5147266600241</v>
      </c>
      <c r="BB10" s="7">
        <f t="shared" ca="1" si="2"/>
        <v>1635.5147266600241</v>
      </c>
      <c r="BC10" s="7">
        <f t="shared" ca="1" si="2"/>
        <v>1635.5147266600241</v>
      </c>
      <c r="BD10" s="7">
        <f t="shared" ca="1" si="2"/>
        <v>1635.5147266600241</v>
      </c>
      <c r="BE10" s="7">
        <f t="shared" ca="1" si="2"/>
        <v>1635.5147266600241</v>
      </c>
      <c r="BF10" s="7">
        <f t="shared" ca="1" si="2"/>
        <v>1635.5147266600241</v>
      </c>
      <c r="BG10" s="7">
        <f t="shared" ca="1" si="2"/>
        <v>1635.5147266600241</v>
      </c>
      <c r="BH10" s="7">
        <f t="shared" ca="1" si="2"/>
        <v>1635.5147266600241</v>
      </c>
      <c r="BI10" s="7">
        <f t="shared" ca="1" si="2"/>
        <v>1635.5147266600241</v>
      </c>
      <c r="BJ10" s="7">
        <f t="shared" ca="1" si="2"/>
        <v>1635.5147266600241</v>
      </c>
      <c r="BK10" s="7">
        <f t="shared" ca="1" si="2"/>
        <v>1635.5147266600241</v>
      </c>
      <c r="BL10" s="7">
        <f t="shared" ca="1" si="1"/>
        <v>98130.883599601497</v>
      </c>
      <c r="BM10" s="45"/>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pans="2:16384">
      <c r="B11" t="s">
        <v>807</v>
      </c>
      <c r="C11" s="7">
        <v>0</v>
      </c>
      <c r="D11" s="7">
        <f ca="1">Detached!$E$132</f>
        <v>0</v>
      </c>
      <c r="E11" s="7">
        <f ca="1">Detached!$E$132</f>
        <v>0</v>
      </c>
      <c r="F11" s="7">
        <f ca="1">Detached!$E$132</f>
        <v>0</v>
      </c>
      <c r="G11" s="7">
        <f ca="1">Detached!$E$132</f>
        <v>0</v>
      </c>
      <c r="H11" s="7">
        <f ca="1">Detached!$E$132</f>
        <v>0</v>
      </c>
      <c r="I11" s="7">
        <f ca="1">Detached!$E$132</f>
        <v>0</v>
      </c>
      <c r="J11" s="7">
        <f ca="1">Detached!$E$132</f>
        <v>0</v>
      </c>
      <c r="K11" s="7">
        <f ca="1">Detached!$E$132</f>
        <v>0</v>
      </c>
      <c r="L11" s="7">
        <f ca="1">Detached!$E$132</f>
        <v>0</v>
      </c>
      <c r="M11" s="7">
        <f ca="1">Detached!$E$132</f>
        <v>0</v>
      </c>
      <c r="N11" s="7">
        <f ca="1">Detached!$E$132</f>
        <v>0</v>
      </c>
      <c r="O11" s="7">
        <f ca="1">Detached!$E$132</f>
        <v>0</v>
      </c>
      <c r="P11" s="7">
        <f ca="1">Detached!$E$132</f>
        <v>0</v>
      </c>
      <c r="Q11" s="7">
        <f ca="1">Detached!$E$132</f>
        <v>0</v>
      </c>
      <c r="R11" s="7">
        <f ca="1">Detached!$E$132</f>
        <v>0</v>
      </c>
      <c r="S11" s="7">
        <f ca="1">Detached!$E$132</f>
        <v>0</v>
      </c>
      <c r="T11" s="7">
        <f ca="1">Detached!$E$132</f>
        <v>0</v>
      </c>
      <c r="U11" s="7">
        <f ca="1">Detached!$E$132</f>
        <v>0</v>
      </c>
      <c r="V11" s="7">
        <f ca="1">Detached!$E$132</f>
        <v>0</v>
      </c>
      <c r="W11" s="7">
        <f ca="1">Detached!$E$132</f>
        <v>0</v>
      </c>
      <c r="X11" s="173">
        <v>0</v>
      </c>
      <c r="Y11" s="7">
        <v>0</v>
      </c>
      <c r="Z11" s="7">
        <v>0</v>
      </c>
      <c r="AA11" s="7">
        <v>0</v>
      </c>
      <c r="AB11" s="7">
        <v>0</v>
      </c>
      <c r="AC11" s="7">
        <v>0</v>
      </c>
      <c r="AD11" s="7">
        <v>0</v>
      </c>
      <c r="AE11" s="7">
        <v>0</v>
      </c>
      <c r="AF11" s="7">
        <v>0</v>
      </c>
      <c r="AG11" s="7">
        <v>0</v>
      </c>
      <c r="AH11" s="7">
        <v>0</v>
      </c>
      <c r="AI11" s="7">
        <v>0</v>
      </c>
      <c r="AJ11" s="7">
        <v>0</v>
      </c>
      <c r="AK11" s="7">
        <v>0</v>
      </c>
      <c r="AL11" s="7">
        <v>0</v>
      </c>
      <c r="AM11" s="7">
        <v>0</v>
      </c>
      <c r="AN11" s="7">
        <v>0</v>
      </c>
      <c r="AO11" s="7">
        <v>0</v>
      </c>
      <c r="AP11" s="7">
        <v>0</v>
      </c>
      <c r="AQ11" s="7">
        <v>0</v>
      </c>
      <c r="AR11" s="7">
        <v>0</v>
      </c>
      <c r="AS11" s="7">
        <v>0</v>
      </c>
      <c r="AT11" s="7">
        <v>0</v>
      </c>
      <c r="AU11" s="7">
        <v>0</v>
      </c>
      <c r="AV11" s="7">
        <v>0</v>
      </c>
      <c r="AW11" s="7">
        <v>0</v>
      </c>
      <c r="AX11" s="7">
        <v>0</v>
      </c>
      <c r="AY11" s="7">
        <v>0</v>
      </c>
      <c r="AZ11" s="7">
        <v>0</v>
      </c>
      <c r="BA11" s="7">
        <v>0</v>
      </c>
      <c r="BB11" s="7">
        <v>0</v>
      </c>
      <c r="BC11" s="7">
        <v>0</v>
      </c>
      <c r="BD11" s="7">
        <v>0</v>
      </c>
      <c r="BE11" s="7">
        <v>0</v>
      </c>
      <c r="BF11" s="7">
        <v>0</v>
      </c>
      <c r="BG11" s="7">
        <v>0</v>
      </c>
      <c r="BH11" s="7">
        <v>0</v>
      </c>
      <c r="BI11" s="7">
        <v>0</v>
      </c>
      <c r="BJ11" s="7">
        <v>0</v>
      </c>
      <c r="BK11" s="7">
        <v>0</v>
      </c>
      <c r="BL11" s="7">
        <f t="shared" ca="1" si="1"/>
        <v>0</v>
      </c>
      <c r="BM11" s="172"/>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pans="2:16384">
      <c r="B12" t="s">
        <v>808</v>
      </c>
      <c r="C12" s="7">
        <v>0</v>
      </c>
      <c r="D12" s="7">
        <f ca="1">Attached!$E$132</f>
        <v>0</v>
      </c>
      <c r="E12" s="7">
        <f ca="1">Attached!$E$132</f>
        <v>0</v>
      </c>
      <c r="F12" s="7">
        <f ca="1">Attached!$E$132</f>
        <v>0</v>
      </c>
      <c r="G12" s="7">
        <f ca="1">Attached!$E$132</f>
        <v>0</v>
      </c>
      <c r="H12" s="7">
        <f ca="1">Attached!$E$132</f>
        <v>0</v>
      </c>
      <c r="I12" s="7">
        <f ca="1">Attached!$E$132</f>
        <v>0</v>
      </c>
      <c r="J12" s="7">
        <f ca="1">Attached!$E$132</f>
        <v>0</v>
      </c>
      <c r="K12" s="7">
        <f ca="1">Attached!$E$132</f>
        <v>0</v>
      </c>
      <c r="L12" s="7">
        <f ca="1">Attached!$E$132</f>
        <v>0</v>
      </c>
      <c r="M12" s="7">
        <f ca="1">Attached!$E$132</f>
        <v>0</v>
      </c>
      <c r="N12" s="7">
        <f ca="1">Attached!$E$132</f>
        <v>0</v>
      </c>
      <c r="O12" s="7">
        <f ca="1">Attached!$E$132</f>
        <v>0</v>
      </c>
      <c r="P12" s="7">
        <f ca="1">Attached!$E$132</f>
        <v>0</v>
      </c>
      <c r="Q12" s="7">
        <f ca="1">Attached!$E$132</f>
        <v>0</v>
      </c>
      <c r="R12" s="7">
        <f ca="1">Attached!$E$132</f>
        <v>0</v>
      </c>
      <c r="S12" s="7">
        <f ca="1">Attached!$E$132</f>
        <v>0</v>
      </c>
      <c r="T12" s="7">
        <f ca="1">Attached!$E$132</f>
        <v>0</v>
      </c>
      <c r="U12" s="7">
        <f ca="1">Attached!$E$132</f>
        <v>0</v>
      </c>
      <c r="V12" s="7">
        <f ca="1">Attached!$E$132</f>
        <v>0</v>
      </c>
      <c r="W12" s="7">
        <f ca="1">Attached!$E$132</f>
        <v>0</v>
      </c>
      <c r="X12" s="173">
        <v>0</v>
      </c>
      <c r="Y12" s="7">
        <v>0</v>
      </c>
      <c r="Z12" s="7">
        <v>0</v>
      </c>
      <c r="AA12" s="7">
        <v>0</v>
      </c>
      <c r="AB12" s="7">
        <v>0</v>
      </c>
      <c r="AC12" s="7">
        <v>0</v>
      </c>
      <c r="AD12" s="7">
        <v>0</v>
      </c>
      <c r="AE12" s="7">
        <v>0</v>
      </c>
      <c r="AF12" s="7">
        <v>0</v>
      </c>
      <c r="AG12" s="7">
        <v>0</v>
      </c>
      <c r="AH12" s="7">
        <v>0</v>
      </c>
      <c r="AI12" s="7">
        <v>0</v>
      </c>
      <c r="AJ12" s="7">
        <v>0</v>
      </c>
      <c r="AK12" s="7">
        <v>0</v>
      </c>
      <c r="AL12" s="7">
        <v>0</v>
      </c>
      <c r="AM12" s="7">
        <v>0</v>
      </c>
      <c r="AN12" s="7">
        <v>0</v>
      </c>
      <c r="AO12" s="7">
        <v>0</v>
      </c>
      <c r="AP12" s="7">
        <v>0</v>
      </c>
      <c r="AQ12" s="7">
        <v>0</v>
      </c>
      <c r="AR12" s="7">
        <v>0</v>
      </c>
      <c r="AS12" s="7">
        <v>0</v>
      </c>
      <c r="AT12" s="7">
        <v>0</v>
      </c>
      <c r="AU12" s="7">
        <v>0</v>
      </c>
      <c r="AV12" s="7">
        <v>0</v>
      </c>
      <c r="AW12" s="7">
        <v>0</v>
      </c>
      <c r="AX12" s="7">
        <v>0</v>
      </c>
      <c r="AY12" s="7">
        <v>0</v>
      </c>
      <c r="AZ12" s="7">
        <v>0</v>
      </c>
      <c r="BA12" s="7">
        <v>0</v>
      </c>
      <c r="BB12" s="7">
        <v>0</v>
      </c>
      <c r="BC12" s="7">
        <v>0</v>
      </c>
      <c r="BD12" s="7">
        <v>0</v>
      </c>
      <c r="BE12" s="7">
        <v>0</v>
      </c>
      <c r="BF12" s="7">
        <v>0</v>
      </c>
      <c r="BG12" s="7">
        <v>0</v>
      </c>
      <c r="BH12" s="7">
        <v>0</v>
      </c>
      <c r="BI12" s="7">
        <v>0</v>
      </c>
      <c r="BJ12" s="7">
        <v>0</v>
      </c>
      <c r="BK12" s="7">
        <v>0</v>
      </c>
      <c r="BL12" s="7">
        <f t="shared" ca="1" si="1"/>
        <v>0</v>
      </c>
      <c r="BM12" s="172"/>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c r="XFC12" s="7"/>
      <c r="XFD12" s="7"/>
    </row>
    <row r="13" spans="2:16384">
      <c r="B13" t="s">
        <v>809</v>
      </c>
      <c r="C13" s="164">
        <v>0</v>
      </c>
      <c r="D13" s="7">
        <f ca="1">'1BedFlat'!$E$132</f>
        <v>0</v>
      </c>
      <c r="E13" s="7">
        <f ca="1">'1BedFlat'!$E$132</f>
        <v>0</v>
      </c>
      <c r="F13" s="7">
        <f ca="1">'1BedFlat'!$E$132</f>
        <v>0</v>
      </c>
      <c r="G13" s="7">
        <f ca="1">'1BedFlat'!$E$132</f>
        <v>0</v>
      </c>
      <c r="H13" s="7">
        <f ca="1">'1BedFlat'!$E$132</f>
        <v>0</v>
      </c>
      <c r="I13" s="7">
        <f ca="1">'1BedFlat'!$E$132</f>
        <v>0</v>
      </c>
      <c r="J13" s="7">
        <f ca="1">'1BedFlat'!$E$132</f>
        <v>0</v>
      </c>
      <c r="K13" s="7">
        <f ca="1">'1BedFlat'!$E$132</f>
        <v>0</v>
      </c>
      <c r="L13" s="7">
        <f ca="1">'1BedFlat'!$E$132</f>
        <v>0</v>
      </c>
      <c r="M13" s="7">
        <f ca="1">'1BedFlat'!$E$132</f>
        <v>0</v>
      </c>
      <c r="N13" s="7">
        <f ca="1">'1BedFlat'!$E$132</f>
        <v>0</v>
      </c>
      <c r="O13" s="7">
        <f ca="1">'1BedFlat'!$E$132</f>
        <v>0</v>
      </c>
      <c r="P13" s="7">
        <f ca="1">'1BedFlat'!$E$132</f>
        <v>0</v>
      </c>
      <c r="Q13" s="7">
        <f ca="1">'1BedFlat'!$E$132</f>
        <v>0</v>
      </c>
      <c r="R13" s="7">
        <f ca="1">'1BedFlat'!$E$132</f>
        <v>0</v>
      </c>
      <c r="S13" s="7">
        <f ca="1">'1BedFlat'!$E$132</f>
        <v>0</v>
      </c>
      <c r="T13" s="7">
        <f ca="1">'1BedFlat'!$E$132</f>
        <v>0</v>
      </c>
      <c r="U13" s="7">
        <f ca="1">'1BedFlat'!$E$132</f>
        <v>0</v>
      </c>
      <c r="V13" s="7">
        <f ca="1">'1BedFlat'!$E$132</f>
        <v>0</v>
      </c>
      <c r="W13" s="7">
        <f ca="1">'1BedFlat'!$E$132</f>
        <v>0</v>
      </c>
      <c r="X13" s="173">
        <v>0</v>
      </c>
      <c r="Y13" s="7">
        <v>0</v>
      </c>
      <c r="Z13" s="7">
        <v>0</v>
      </c>
      <c r="AA13" s="7">
        <v>0</v>
      </c>
      <c r="AB13" s="7">
        <v>0</v>
      </c>
      <c r="AC13" s="7">
        <v>0</v>
      </c>
      <c r="AD13" s="7">
        <v>0</v>
      </c>
      <c r="AE13" s="7">
        <v>0</v>
      </c>
      <c r="AF13" s="7">
        <v>0</v>
      </c>
      <c r="AG13" s="7">
        <v>0</v>
      </c>
      <c r="AH13" s="7">
        <v>0</v>
      </c>
      <c r="AI13" s="7">
        <v>0</v>
      </c>
      <c r="AJ13" s="7">
        <v>0</v>
      </c>
      <c r="AK13" s="7">
        <v>0</v>
      </c>
      <c r="AL13" s="7">
        <v>0</v>
      </c>
      <c r="AM13" s="7">
        <v>0</v>
      </c>
      <c r="AN13" s="7">
        <v>0</v>
      </c>
      <c r="AO13" s="7">
        <v>0</v>
      </c>
      <c r="AP13" s="7">
        <v>0</v>
      </c>
      <c r="AQ13" s="7">
        <v>0</v>
      </c>
      <c r="AR13" s="7">
        <v>0</v>
      </c>
      <c r="AS13" s="7">
        <v>0</v>
      </c>
      <c r="AT13" s="7">
        <v>0</v>
      </c>
      <c r="AU13" s="7">
        <v>0</v>
      </c>
      <c r="AV13" s="7">
        <v>0</v>
      </c>
      <c r="AW13" s="7">
        <v>0</v>
      </c>
      <c r="AX13" s="7">
        <v>0</v>
      </c>
      <c r="AY13" s="7">
        <v>0</v>
      </c>
      <c r="AZ13" s="7">
        <v>0</v>
      </c>
      <c r="BA13" s="7">
        <v>0</v>
      </c>
      <c r="BB13" s="7">
        <v>0</v>
      </c>
      <c r="BC13" s="7">
        <v>0</v>
      </c>
      <c r="BD13" s="7">
        <v>0</v>
      </c>
      <c r="BE13" s="7">
        <v>0</v>
      </c>
      <c r="BF13" s="7">
        <v>0</v>
      </c>
      <c r="BG13" s="7">
        <v>0</v>
      </c>
      <c r="BH13" s="7">
        <v>0</v>
      </c>
      <c r="BI13" s="7">
        <v>0</v>
      </c>
      <c r="BJ13" s="7">
        <v>0</v>
      </c>
      <c r="BK13" s="7">
        <v>0</v>
      </c>
      <c r="BL13" s="7">
        <f t="shared" ca="1" si="1"/>
        <v>0</v>
      </c>
      <c r="BM13" s="172"/>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c r="XFC13" s="7"/>
      <c r="XFD13" s="7"/>
    </row>
    <row r="14" spans="2:16384">
      <c r="B14" t="s">
        <v>810</v>
      </c>
      <c r="C14" s="164">
        <v>0</v>
      </c>
      <c r="D14" s="7">
        <f ca="1">'2BedFlat'!$E$132</f>
        <v>0</v>
      </c>
      <c r="E14" s="7">
        <f ca="1">'2BedFlat'!$E$132</f>
        <v>0</v>
      </c>
      <c r="F14" s="7">
        <f ca="1">'2BedFlat'!$E$132</f>
        <v>0</v>
      </c>
      <c r="G14" s="7">
        <f ca="1">'2BedFlat'!$E$132</f>
        <v>0</v>
      </c>
      <c r="H14" s="7">
        <f ca="1">'2BedFlat'!$E$132</f>
        <v>0</v>
      </c>
      <c r="I14" s="7">
        <f ca="1">'2BedFlat'!$E$132</f>
        <v>0</v>
      </c>
      <c r="J14" s="7">
        <f ca="1">'2BedFlat'!$E$132</f>
        <v>0</v>
      </c>
      <c r="K14" s="7">
        <f ca="1">'2BedFlat'!$E$132</f>
        <v>0</v>
      </c>
      <c r="L14" s="7">
        <f ca="1">'2BedFlat'!$E$132</f>
        <v>0</v>
      </c>
      <c r="M14" s="7">
        <f ca="1">'2BedFlat'!$E$132</f>
        <v>0</v>
      </c>
      <c r="N14" s="7">
        <f ca="1">'2BedFlat'!$E$132</f>
        <v>0</v>
      </c>
      <c r="O14" s="7">
        <f ca="1">'2BedFlat'!$E$132</f>
        <v>0</v>
      </c>
      <c r="P14" s="7">
        <f ca="1">'2BedFlat'!$E$132</f>
        <v>0</v>
      </c>
      <c r="Q14" s="7">
        <f ca="1">'2BedFlat'!$E$132</f>
        <v>0</v>
      </c>
      <c r="R14" s="7">
        <f ca="1">'2BedFlat'!$E$132</f>
        <v>0</v>
      </c>
      <c r="S14" s="7">
        <f ca="1">'2BedFlat'!$E$132</f>
        <v>0</v>
      </c>
      <c r="T14" s="7">
        <f ca="1">'2BedFlat'!$E$132</f>
        <v>0</v>
      </c>
      <c r="U14" s="7">
        <f ca="1">'2BedFlat'!$E$132</f>
        <v>0</v>
      </c>
      <c r="V14" s="7">
        <f ca="1">'2BedFlat'!$E$132</f>
        <v>0</v>
      </c>
      <c r="W14" s="7">
        <f ca="1">'2BedFlat'!$E$132</f>
        <v>0</v>
      </c>
      <c r="X14" s="173">
        <v>0</v>
      </c>
      <c r="Y14" s="7">
        <v>0</v>
      </c>
      <c r="Z14" s="7">
        <v>0</v>
      </c>
      <c r="AA14" s="7">
        <v>0</v>
      </c>
      <c r="AB14" s="7">
        <v>0</v>
      </c>
      <c r="AC14" s="7">
        <v>0</v>
      </c>
      <c r="AD14" s="7">
        <v>0</v>
      </c>
      <c r="AE14" s="7">
        <v>0</v>
      </c>
      <c r="AF14" s="7">
        <v>0</v>
      </c>
      <c r="AG14" s="7">
        <v>0</v>
      </c>
      <c r="AH14" s="7">
        <v>0</v>
      </c>
      <c r="AI14" s="7">
        <v>0</v>
      </c>
      <c r="AJ14" s="7">
        <v>0</v>
      </c>
      <c r="AK14" s="7">
        <v>0</v>
      </c>
      <c r="AL14" s="7">
        <v>0</v>
      </c>
      <c r="AM14" s="7">
        <v>0</v>
      </c>
      <c r="AN14" s="7">
        <v>0</v>
      </c>
      <c r="AO14" s="7">
        <v>0</v>
      </c>
      <c r="AP14" s="7">
        <v>0</v>
      </c>
      <c r="AQ14" s="7">
        <v>0</v>
      </c>
      <c r="AR14" s="7">
        <v>0</v>
      </c>
      <c r="AS14" s="7">
        <v>0</v>
      </c>
      <c r="AT14" s="7">
        <v>0</v>
      </c>
      <c r="AU14" s="7">
        <v>0</v>
      </c>
      <c r="AV14" s="7">
        <v>0</v>
      </c>
      <c r="AW14" s="7">
        <v>0</v>
      </c>
      <c r="AX14" s="7">
        <v>0</v>
      </c>
      <c r="AY14" s="7">
        <v>0</v>
      </c>
      <c r="AZ14" s="7">
        <v>0</v>
      </c>
      <c r="BA14" s="7">
        <v>0</v>
      </c>
      <c r="BB14" s="7">
        <v>0</v>
      </c>
      <c r="BC14" s="7">
        <v>0</v>
      </c>
      <c r="BD14" s="7">
        <v>0</v>
      </c>
      <c r="BE14" s="7">
        <v>0</v>
      </c>
      <c r="BF14" s="7">
        <v>0</v>
      </c>
      <c r="BG14" s="7">
        <v>0</v>
      </c>
      <c r="BH14" s="7">
        <v>0</v>
      </c>
      <c r="BI14" s="7">
        <v>0</v>
      </c>
      <c r="BJ14" s="7">
        <v>0</v>
      </c>
      <c r="BK14" s="7">
        <v>0</v>
      </c>
      <c r="BL14" s="7">
        <f t="shared" ca="1" si="1"/>
        <v>0</v>
      </c>
      <c r="BM14" s="172"/>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c r="XFC14" s="7"/>
      <c r="XFD14" s="7"/>
    </row>
    <row r="15" spans="2:16384">
      <c r="B15" t="s">
        <v>811</v>
      </c>
      <c r="C15" s="164">
        <f>SUM(C11:C14)</f>
        <v>0</v>
      </c>
      <c r="D15" s="7">
        <f ca="1">SUM(D11:D14)</f>
        <v>0</v>
      </c>
      <c r="E15" s="7">
        <f t="shared" ref="E15:BK15" ca="1" si="3">SUM(E11:E14)</f>
        <v>0</v>
      </c>
      <c r="F15" s="7">
        <f t="shared" ca="1" si="3"/>
        <v>0</v>
      </c>
      <c r="G15" s="7">
        <f t="shared" ca="1" si="3"/>
        <v>0</v>
      </c>
      <c r="H15" s="7">
        <f t="shared" ca="1" si="3"/>
        <v>0</v>
      </c>
      <c r="I15" s="7">
        <f t="shared" ca="1" si="3"/>
        <v>0</v>
      </c>
      <c r="J15" s="7">
        <f t="shared" ca="1" si="3"/>
        <v>0</v>
      </c>
      <c r="K15" s="7">
        <f t="shared" ca="1" si="3"/>
        <v>0</v>
      </c>
      <c r="L15" s="7">
        <f t="shared" ca="1" si="3"/>
        <v>0</v>
      </c>
      <c r="M15" s="7">
        <f t="shared" ca="1" si="3"/>
        <v>0</v>
      </c>
      <c r="N15" s="7">
        <f t="shared" ca="1" si="3"/>
        <v>0</v>
      </c>
      <c r="O15" s="7">
        <f t="shared" ca="1" si="3"/>
        <v>0</v>
      </c>
      <c r="P15" s="7">
        <f t="shared" ca="1" si="3"/>
        <v>0</v>
      </c>
      <c r="Q15" s="7">
        <f t="shared" ca="1" si="3"/>
        <v>0</v>
      </c>
      <c r="R15" s="7">
        <f t="shared" ca="1" si="3"/>
        <v>0</v>
      </c>
      <c r="S15" s="7">
        <f t="shared" ca="1" si="3"/>
        <v>0</v>
      </c>
      <c r="T15" s="7">
        <f t="shared" ca="1" si="3"/>
        <v>0</v>
      </c>
      <c r="U15" s="7">
        <f t="shared" ca="1" si="3"/>
        <v>0</v>
      </c>
      <c r="V15" s="7">
        <f t="shared" ca="1" si="3"/>
        <v>0</v>
      </c>
      <c r="W15" s="7">
        <f t="shared" ca="1" si="3"/>
        <v>0</v>
      </c>
      <c r="X15" s="173">
        <f t="shared" si="3"/>
        <v>0</v>
      </c>
      <c r="Y15" s="7">
        <f t="shared" si="3"/>
        <v>0</v>
      </c>
      <c r="Z15" s="7">
        <f t="shared" si="3"/>
        <v>0</v>
      </c>
      <c r="AA15" s="7">
        <f t="shared" si="3"/>
        <v>0</v>
      </c>
      <c r="AB15" s="7">
        <f t="shared" si="3"/>
        <v>0</v>
      </c>
      <c r="AC15" s="7">
        <f t="shared" si="3"/>
        <v>0</v>
      </c>
      <c r="AD15" s="7">
        <f t="shared" si="3"/>
        <v>0</v>
      </c>
      <c r="AE15" s="7">
        <f t="shared" si="3"/>
        <v>0</v>
      </c>
      <c r="AF15" s="7">
        <f t="shared" si="3"/>
        <v>0</v>
      </c>
      <c r="AG15" s="7">
        <f t="shared" si="3"/>
        <v>0</v>
      </c>
      <c r="AH15" s="7">
        <f t="shared" si="3"/>
        <v>0</v>
      </c>
      <c r="AI15" s="7">
        <f t="shared" si="3"/>
        <v>0</v>
      </c>
      <c r="AJ15" s="7">
        <f t="shared" si="3"/>
        <v>0</v>
      </c>
      <c r="AK15" s="7">
        <f t="shared" si="3"/>
        <v>0</v>
      </c>
      <c r="AL15" s="7">
        <f t="shared" si="3"/>
        <v>0</v>
      </c>
      <c r="AM15" s="7">
        <f t="shared" si="3"/>
        <v>0</v>
      </c>
      <c r="AN15" s="7">
        <f t="shared" si="3"/>
        <v>0</v>
      </c>
      <c r="AO15" s="7">
        <f t="shared" si="3"/>
        <v>0</v>
      </c>
      <c r="AP15" s="7">
        <f t="shared" si="3"/>
        <v>0</v>
      </c>
      <c r="AQ15" s="7">
        <f t="shared" si="3"/>
        <v>0</v>
      </c>
      <c r="AR15" s="7">
        <f t="shared" si="3"/>
        <v>0</v>
      </c>
      <c r="AS15" s="7">
        <f t="shared" si="3"/>
        <v>0</v>
      </c>
      <c r="AT15" s="7">
        <f t="shared" si="3"/>
        <v>0</v>
      </c>
      <c r="AU15" s="7">
        <f t="shared" si="3"/>
        <v>0</v>
      </c>
      <c r="AV15" s="7">
        <f t="shared" si="3"/>
        <v>0</v>
      </c>
      <c r="AW15" s="7">
        <f t="shared" si="3"/>
        <v>0</v>
      </c>
      <c r="AX15" s="7">
        <f t="shared" si="3"/>
        <v>0</v>
      </c>
      <c r="AY15" s="7">
        <f t="shared" si="3"/>
        <v>0</v>
      </c>
      <c r="AZ15" s="7">
        <f t="shared" si="3"/>
        <v>0</v>
      </c>
      <c r="BA15" s="7">
        <f t="shared" si="3"/>
        <v>0</v>
      </c>
      <c r="BB15" s="7">
        <f t="shared" si="3"/>
        <v>0</v>
      </c>
      <c r="BC15" s="7">
        <f t="shared" si="3"/>
        <v>0</v>
      </c>
      <c r="BD15" s="7">
        <f t="shared" si="3"/>
        <v>0</v>
      </c>
      <c r="BE15" s="7">
        <f t="shared" si="3"/>
        <v>0</v>
      </c>
      <c r="BF15" s="7">
        <f t="shared" si="3"/>
        <v>0</v>
      </c>
      <c r="BG15" s="7">
        <f t="shared" si="3"/>
        <v>0</v>
      </c>
      <c r="BH15" s="7">
        <f t="shared" si="3"/>
        <v>0</v>
      </c>
      <c r="BI15" s="7">
        <f t="shared" si="3"/>
        <v>0</v>
      </c>
      <c r="BJ15" s="7">
        <f t="shared" si="3"/>
        <v>0</v>
      </c>
      <c r="BK15" s="7">
        <f t="shared" si="3"/>
        <v>0</v>
      </c>
      <c r="BL15" s="7">
        <f t="shared" ca="1" si="1"/>
        <v>0</v>
      </c>
      <c r="BM15" s="45"/>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c r="XFC15" s="7"/>
      <c r="XFD15" s="7"/>
    </row>
    <row r="16" spans="2:16384">
      <c r="C16" s="164"/>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45"/>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pans="2:16384">
      <c r="B17" s="1" t="s">
        <v>812</v>
      </c>
      <c r="C17" s="164"/>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45"/>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c r="XFC17" s="7"/>
      <c r="XFD17" s="7"/>
    </row>
    <row r="18" spans="2:16384">
      <c r="B18" s="1" t="s">
        <v>746</v>
      </c>
    </row>
    <row r="19" spans="2:16384" s="41" customFormat="1">
      <c r="B19" s="41" t="s">
        <v>719</v>
      </c>
      <c r="C19" s="101">
        <f>INPUT!C8</f>
        <v>2026</v>
      </c>
      <c r="D19" s="101">
        <f t="shared" ref="D19:AI19" si="4">C19+1</f>
        <v>2027</v>
      </c>
      <c r="E19" s="101">
        <f t="shared" si="4"/>
        <v>2028</v>
      </c>
      <c r="F19" s="101">
        <f t="shared" si="4"/>
        <v>2029</v>
      </c>
      <c r="G19" s="101">
        <f t="shared" si="4"/>
        <v>2030</v>
      </c>
      <c r="H19" s="101">
        <f t="shared" si="4"/>
        <v>2031</v>
      </c>
      <c r="I19" s="101">
        <f t="shared" si="4"/>
        <v>2032</v>
      </c>
      <c r="J19" s="101">
        <f t="shared" si="4"/>
        <v>2033</v>
      </c>
      <c r="K19" s="101">
        <f t="shared" si="4"/>
        <v>2034</v>
      </c>
      <c r="L19" s="101">
        <f t="shared" si="4"/>
        <v>2035</v>
      </c>
      <c r="M19" s="101">
        <f t="shared" si="4"/>
        <v>2036</v>
      </c>
      <c r="N19" s="101">
        <f t="shared" si="4"/>
        <v>2037</v>
      </c>
      <c r="O19" s="101">
        <f t="shared" si="4"/>
        <v>2038</v>
      </c>
      <c r="P19" s="101">
        <f t="shared" si="4"/>
        <v>2039</v>
      </c>
      <c r="Q19" s="101">
        <f t="shared" si="4"/>
        <v>2040</v>
      </c>
      <c r="R19" s="101">
        <f t="shared" si="4"/>
        <v>2041</v>
      </c>
      <c r="S19" s="101">
        <f t="shared" si="4"/>
        <v>2042</v>
      </c>
      <c r="T19" s="101">
        <f t="shared" si="4"/>
        <v>2043</v>
      </c>
      <c r="U19" s="101">
        <f t="shared" si="4"/>
        <v>2044</v>
      </c>
      <c r="V19" s="101">
        <f t="shared" si="4"/>
        <v>2045</v>
      </c>
      <c r="W19" s="101">
        <f t="shared" si="4"/>
        <v>2046</v>
      </c>
      <c r="X19" s="101">
        <f t="shared" si="4"/>
        <v>2047</v>
      </c>
      <c r="Y19" s="101">
        <f t="shared" si="4"/>
        <v>2048</v>
      </c>
      <c r="Z19" s="101">
        <f t="shared" si="4"/>
        <v>2049</v>
      </c>
      <c r="AA19" s="101">
        <f t="shared" si="4"/>
        <v>2050</v>
      </c>
      <c r="AB19" s="101">
        <f t="shared" si="4"/>
        <v>2051</v>
      </c>
      <c r="AC19" s="101">
        <f t="shared" si="4"/>
        <v>2052</v>
      </c>
      <c r="AD19" s="101">
        <f t="shared" si="4"/>
        <v>2053</v>
      </c>
      <c r="AE19" s="101">
        <f t="shared" si="4"/>
        <v>2054</v>
      </c>
      <c r="AF19" s="101">
        <f t="shared" si="4"/>
        <v>2055</v>
      </c>
      <c r="AG19" s="101">
        <f t="shared" si="4"/>
        <v>2056</v>
      </c>
      <c r="AH19" s="101">
        <f t="shared" si="4"/>
        <v>2057</v>
      </c>
      <c r="AI19" s="101">
        <f t="shared" si="4"/>
        <v>2058</v>
      </c>
      <c r="AJ19" s="101">
        <f t="shared" ref="AJ19:BK19" si="5">AI19+1</f>
        <v>2059</v>
      </c>
      <c r="AK19" s="101">
        <f t="shared" si="5"/>
        <v>2060</v>
      </c>
      <c r="AL19" s="101">
        <f t="shared" si="5"/>
        <v>2061</v>
      </c>
      <c r="AM19" s="101">
        <f t="shared" si="5"/>
        <v>2062</v>
      </c>
      <c r="AN19" s="101">
        <f t="shared" si="5"/>
        <v>2063</v>
      </c>
      <c r="AO19" s="101">
        <f t="shared" si="5"/>
        <v>2064</v>
      </c>
      <c r="AP19" s="101">
        <f t="shared" si="5"/>
        <v>2065</v>
      </c>
      <c r="AQ19" s="101">
        <f t="shared" si="5"/>
        <v>2066</v>
      </c>
      <c r="AR19" s="101">
        <f t="shared" si="5"/>
        <v>2067</v>
      </c>
      <c r="AS19" s="101">
        <f t="shared" si="5"/>
        <v>2068</v>
      </c>
      <c r="AT19" s="101">
        <f t="shared" si="5"/>
        <v>2069</v>
      </c>
      <c r="AU19" s="101">
        <f t="shared" si="5"/>
        <v>2070</v>
      </c>
      <c r="AV19" s="101">
        <f t="shared" si="5"/>
        <v>2071</v>
      </c>
      <c r="AW19" s="101">
        <f t="shared" si="5"/>
        <v>2072</v>
      </c>
      <c r="AX19" s="101">
        <f t="shared" si="5"/>
        <v>2073</v>
      </c>
      <c r="AY19" s="101">
        <f t="shared" si="5"/>
        <v>2074</v>
      </c>
      <c r="AZ19" s="101">
        <f t="shared" si="5"/>
        <v>2075</v>
      </c>
      <c r="BA19" s="101">
        <f t="shared" si="5"/>
        <v>2076</v>
      </c>
      <c r="BB19" s="101">
        <f t="shared" si="5"/>
        <v>2077</v>
      </c>
      <c r="BC19" s="101">
        <f t="shared" si="5"/>
        <v>2078</v>
      </c>
      <c r="BD19" s="101">
        <f t="shared" si="5"/>
        <v>2079</v>
      </c>
      <c r="BE19" s="101">
        <f t="shared" si="5"/>
        <v>2080</v>
      </c>
      <c r="BF19" s="101">
        <f t="shared" si="5"/>
        <v>2081</v>
      </c>
      <c r="BG19" s="101">
        <f t="shared" si="5"/>
        <v>2082</v>
      </c>
      <c r="BH19" s="101">
        <f t="shared" si="5"/>
        <v>2083</v>
      </c>
      <c r="BI19" s="101">
        <f t="shared" si="5"/>
        <v>2084</v>
      </c>
      <c r="BJ19" s="101">
        <f t="shared" si="5"/>
        <v>2085</v>
      </c>
      <c r="BK19" s="101">
        <f t="shared" si="5"/>
        <v>2086</v>
      </c>
      <c r="BL19" s="101"/>
    </row>
    <row r="20" spans="2:16384" s="71" customFormat="1">
      <c r="B20" s="71" t="s">
        <v>28</v>
      </c>
      <c r="C20" s="157">
        <f>HLOOKUP(C19,SAP!C196:CC197,2,FALSE)/1000</f>
        <v>9.332041314406013E-2</v>
      </c>
      <c r="D20" s="157">
        <f>HLOOKUP(D19,SAP!D196:CD197,2,FALSE)/1000</f>
        <v>7.4769670265961749E-2</v>
      </c>
      <c r="E20" s="157">
        <f>HLOOKUP(E19,SAP!E196:CE197,2,FALSE)/1000</f>
        <v>6.4583107064587961E-2</v>
      </c>
      <c r="F20" s="157">
        <f>HLOOKUP(F19,SAP!F196:CF197,2,FALSE)/1000</f>
        <v>5.8057759715580061E-2</v>
      </c>
      <c r="G20" s="157">
        <f>HLOOKUP(G19,SAP!G196:CG197,2,FALSE)/1000</f>
        <v>4.6084165917204573E-2</v>
      </c>
      <c r="H20" s="157">
        <f>HLOOKUP(H19,SAP!H196:CH197,2,FALSE)/1000</f>
        <v>3.7089588156852517E-2</v>
      </c>
      <c r="I20" s="157">
        <f>HLOOKUP(I19,SAP!I196:CI197,2,FALSE)/1000</f>
        <v>2.6536380495989255E-2</v>
      </c>
      <c r="J20" s="157">
        <f>HLOOKUP(J19,SAP!J196:CJ197,2,FALSE)/1000</f>
        <v>1.9903100791924595E-2</v>
      </c>
      <c r="K20" s="157">
        <f>HLOOKUP(K19,SAP!K196:CK197,2,FALSE)/1000</f>
        <v>1.4703135576348718E-2</v>
      </c>
      <c r="L20" s="157">
        <f>HLOOKUP(L19,SAP!L196:CL197,2,FALSE)/1000</f>
        <v>1.0240472542340879E-2</v>
      </c>
      <c r="M20" s="157">
        <f>HLOOKUP(M19,SAP!M196:CM197,2,FALSE)/1000</f>
        <v>9.5069064319063708E-3</v>
      </c>
      <c r="N20" s="157">
        <f>HLOOKUP(N19,SAP!N196:CN197,2,FALSE)/1000</f>
        <v>8.5872962531011541E-3</v>
      </c>
      <c r="O20" s="157">
        <f>HLOOKUP(O19,SAP!O196:CO197,2,FALSE)/1000</f>
        <v>8.1609822400717982E-3</v>
      </c>
      <c r="P20" s="157">
        <f>HLOOKUP(P19,SAP!P196:CP197,2,FALSE)/1000</f>
        <v>7.7992288231608798E-3</v>
      </c>
      <c r="Q20" s="157">
        <f>HLOOKUP(Q19,SAP!Q196:CQ197,2,FALSE)/1000</f>
        <v>7.0962031070118713E-3</v>
      </c>
      <c r="R20" s="157">
        <f>HLOOKUP(R19,SAP!R196:CR197,2,FALSE)/1000</f>
        <v>4.6665414907537473E-3</v>
      </c>
      <c r="S20" s="157">
        <f>HLOOKUP(S19,SAP!S196:CS197,2,FALSE)/1000</f>
        <v>4.1888876644854359E-3</v>
      </c>
      <c r="T20" s="157">
        <f>HLOOKUP(T19,SAP!T196:CT197,2,FALSE)/1000</f>
        <v>4.0556459881696998E-3</v>
      </c>
      <c r="U20" s="157">
        <f>HLOOKUP(U19,SAP!U196:CU197,2,FALSE)/1000</f>
        <v>3.8772177761073998E-3</v>
      </c>
      <c r="V20" s="157">
        <f>HLOOKUP(V19,SAP!V196:CV197,2,FALSE)/1000</f>
        <v>2.5371861288188383E-3</v>
      </c>
      <c r="W20" s="157">
        <f>HLOOKUP(W19,SAP!W196:CW197,2,FALSE)/1000</f>
        <v>2.2745925876763457E-3</v>
      </c>
      <c r="X20" s="157">
        <f>HLOOKUP(X19,SAP!X196:CX197,2,FALSE)/1000</f>
        <v>1.7647724448293762E-3</v>
      </c>
      <c r="Y20" s="157">
        <f>HLOOKUP(Y19,SAP!Y196:CY197,2,FALSE)/1000</f>
        <v>1.7437046034370471E-3</v>
      </c>
      <c r="Z20" s="157">
        <f>HLOOKUP(Z19,SAP!Z196:CZ197,2,FALSE)/1000</f>
        <v>1.6674252559368155E-3</v>
      </c>
      <c r="AA20" s="157">
        <f>HLOOKUP(AA19,SAP!AA196:DA197,2,FALSE)/1000</f>
        <v>1.6405799052975254E-3</v>
      </c>
      <c r="AB20" s="157">
        <f>HLOOKUP(AB19,SAP!AB196:DB197,2,FALSE)/1000</f>
        <v>1.6405799052975254E-3</v>
      </c>
      <c r="AC20" s="157">
        <f>HLOOKUP(AC19,SAP!AC196:DC197,2,FALSE)/1000</f>
        <v>1.6405799052975254E-3</v>
      </c>
      <c r="AD20" s="157">
        <f>HLOOKUP(AD19,SAP!AD196:DD197,2,FALSE)/1000</f>
        <v>1.6405799052975254E-3</v>
      </c>
      <c r="AE20" s="157">
        <f>HLOOKUP(AE19,SAP!AE196:DE197,2,FALSE)/1000</f>
        <v>1.6405799052975254E-3</v>
      </c>
      <c r="AF20" s="157">
        <f>HLOOKUP(AF19,SAP!AF196:DF197,2,FALSE)/1000</f>
        <v>1.6405799052975254E-3</v>
      </c>
      <c r="AG20" s="157">
        <f>HLOOKUP(AG19,SAP!AG196:DG197,2,FALSE)/1000</f>
        <v>1.6405799052975254E-3</v>
      </c>
      <c r="AH20" s="157">
        <f>HLOOKUP(AH19,SAP!AH196:DH197,2,FALSE)/1000</f>
        <v>1.6405799052975254E-3</v>
      </c>
      <c r="AI20" s="157">
        <f>HLOOKUP(AI19,SAP!AI196:DI197,2,FALSE)/1000</f>
        <v>1.6405799052975254E-3</v>
      </c>
      <c r="AJ20" s="157">
        <f>HLOOKUP(AJ19,SAP!AJ196:DJ197,2,FALSE)/1000</f>
        <v>1.6405799052975254E-3</v>
      </c>
      <c r="AK20" s="157">
        <f>HLOOKUP(AK19,SAP!AK196:DK197,2,FALSE)/1000</f>
        <v>1.6405799052975254E-3</v>
      </c>
      <c r="AL20" s="157">
        <f>HLOOKUP(AL19,SAP!AL196:DL197,2,FALSE)/1000</f>
        <v>1.6405799052975254E-3</v>
      </c>
      <c r="AM20" s="157">
        <f>HLOOKUP(AM19,SAP!AM196:DM197,2,FALSE)/1000</f>
        <v>1.6405799052975254E-3</v>
      </c>
      <c r="AN20" s="157">
        <f>HLOOKUP(AN19,SAP!AN196:DN197,2,FALSE)/1000</f>
        <v>1.6405799052975254E-3</v>
      </c>
      <c r="AO20" s="157">
        <f>HLOOKUP(AO19,SAP!AO196:DO197,2,FALSE)/1000</f>
        <v>1.6405799052975254E-3</v>
      </c>
      <c r="AP20" s="157">
        <f>HLOOKUP(AP19,SAP!AP196:DP197,2,FALSE)/1000</f>
        <v>1.6405799052975254E-3</v>
      </c>
      <c r="AQ20" s="157">
        <f>HLOOKUP(AQ19,SAP!AQ196:DQ197,2,FALSE)/1000</f>
        <v>1.6405799052975254E-3</v>
      </c>
      <c r="AR20" s="157">
        <f>HLOOKUP(AR19,SAP!AR196:DR197,2,FALSE)/1000</f>
        <v>1.6405799052975254E-3</v>
      </c>
      <c r="AS20" s="157">
        <f>HLOOKUP(AS19,SAP!AS196:DS197,2,FALSE)/1000</f>
        <v>1.6405799052975254E-3</v>
      </c>
      <c r="AT20" s="157">
        <f>HLOOKUP(AT19,SAP!AT196:DT197,2,FALSE)/1000</f>
        <v>1.6405799052975254E-3</v>
      </c>
      <c r="AU20" s="157">
        <f>HLOOKUP(AU19,SAP!AU196:DU197,2,FALSE)/1000</f>
        <v>1.6405799052975254E-3</v>
      </c>
      <c r="AV20" s="157">
        <f>HLOOKUP(AV19,SAP!AV196:DV197,2,FALSE)/1000</f>
        <v>1.6405799052975254E-3</v>
      </c>
      <c r="AW20" s="157">
        <f>HLOOKUP(AW19,SAP!AW196:DW197,2,FALSE)/1000</f>
        <v>1.6405799052975254E-3</v>
      </c>
      <c r="AX20" s="157">
        <f>HLOOKUP(AX19,SAP!AX196:DX197,2,FALSE)/1000</f>
        <v>1.6405799052975254E-3</v>
      </c>
      <c r="AY20" s="157">
        <f>HLOOKUP(AY19,SAP!AY196:DY197,2,FALSE)/1000</f>
        <v>1.6405799052975254E-3</v>
      </c>
      <c r="AZ20" s="157">
        <f>HLOOKUP(AZ19,SAP!AZ196:DZ197,2,FALSE)/1000</f>
        <v>1.6405799052975254E-3</v>
      </c>
      <c r="BA20" s="157">
        <f>HLOOKUP(BA19,SAP!BA196:EA197,2,FALSE)/1000</f>
        <v>1.6405799052975254E-3</v>
      </c>
      <c r="BB20" s="157">
        <f>HLOOKUP(BB19,SAP!BB196:EB197,2,FALSE)/1000</f>
        <v>1.6405799052975254E-3</v>
      </c>
      <c r="BC20" s="157">
        <f>HLOOKUP(BC19,SAP!BC196:EC197,2,FALSE)/1000</f>
        <v>1.6405799052975254E-3</v>
      </c>
      <c r="BD20" s="157">
        <f>HLOOKUP(BD19,SAP!BD196:ED197,2,FALSE)/1000</f>
        <v>1.6405799052975254E-3</v>
      </c>
      <c r="BE20" s="157">
        <f>HLOOKUP(BE19,SAP!BE196:EE197,2,FALSE)/1000</f>
        <v>1.6405799052975254E-3</v>
      </c>
      <c r="BF20" s="157">
        <f>HLOOKUP(BF19,SAP!BF196:EF197,2,FALSE)/1000</f>
        <v>1.6405799052975254E-3</v>
      </c>
      <c r="BG20" s="157">
        <f>HLOOKUP(BG19,SAP!BG196:EG197,2,FALSE)/1000</f>
        <v>1.6405799052975254E-3</v>
      </c>
      <c r="BH20" s="157">
        <f>HLOOKUP(BH19,SAP!BH196:EH197,2,FALSE)/1000</f>
        <v>1.6405799052975254E-3</v>
      </c>
      <c r="BI20" s="157">
        <f>HLOOKUP(BI19,SAP!BI196:EI197,2,FALSE)/1000</f>
        <v>1.6405799052975254E-3</v>
      </c>
      <c r="BJ20" s="157">
        <f>HLOOKUP(BJ19,SAP!BJ196:EJ197,2,FALSE)/1000</f>
        <v>1.6405799052975254E-3</v>
      </c>
      <c r="BK20" s="157">
        <f>HLOOKUP(BK19,SAP!BK196:EK197,2,FALSE)/1000</f>
        <v>1.6405799052975254E-3</v>
      </c>
      <c r="BL20" s="94"/>
    </row>
    <row r="21" spans="2:16384">
      <c r="B21" t="s">
        <v>29</v>
      </c>
      <c r="C21" s="146">
        <f>SAP!$C$200</f>
        <v>0.18315999999999999</v>
      </c>
      <c r="D21" s="146">
        <f>SAP!$C$200</f>
        <v>0.18315999999999999</v>
      </c>
      <c r="E21" s="146">
        <f>SAP!$C$200</f>
        <v>0.18315999999999999</v>
      </c>
      <c r="F21" s="146">
        <f>SAP!$C$200</f>
        <v>0.18315999999999999</v>
      </c>
      <c r="G21" s="146">
        <f>SAP!$C$200</f>
        <v>0.18315999999999999</v>
      </c>
      <c r="H21" s="146">
        <f>SAP!$C$200</f>
        <v>0.18315999999999999</v>
      </c>
      <c r="I21" s="146">
        <f>SAP!$C$200</f>
        <v>0.18315999999999999</v>
      </c>
      <c r="J21" s="146">
        <f>SAP!$C$200</f>
        <v>0.18315999999999999</v>
      </c>
      <c r="K21" s="146">
        <f>SAP!$C$200</f>
        <v>0.18315999999999999</v>
      </c>
      <c r="L21" s="146">
        <f>SAP!$C$200</f>
        <v>0.18315999999999999</v>
      </c>
      <c r="M21" s="146">
        <f>SAP!$C$200</f>
        <v>0.18315999999999999</v>
      </c>
      <c r="N21" s="146">
        <f>SAP!$C$200</f>
        <v>0.18315999999999999</v>
      </c>
      <c r="O21" s="146">
        <f>SAP!$C$200</f>
        <v>0.18315999999999999</v>
      </c>
      <c r="P21" s="146">
        <f>SAP!$C$200</f>
        <v>0.18315999999999999</v>
      </c>
      <c r="Q21" s="146">
        <f>SAP!$C$200</f>
        <v>0.18315999999999999</v>
      </c>
      <c r="R21" s="146">
        <f>SAP!$C$200</f>
        <v>0.18315999999999999</v>
      </c>
      <c r="S21" s="146">
        <f>SAP!$C$200</f>
        <v>0.18315999999999999</v>
      </c>
      <c r="T21" s="146">
        <f>SAP!$C$200</f>
        <v>0.18315999999999999</v>
      </c>
      <c r="U21" s="146">
        <f>SAP!$C$200</f>
        <v>0.18315999999999999</v>
      </c>
      <c r="V21" s="146">
        <f>SAP!$C$200</f>
        <v>0.18315999999999999</v>
      </c>
      <c r="W21" s="146">
        <f>SAP!$C$200</f>
        <v>0.18315999999999999</v>
      </c>
      <c r="X21" s="146">
        <f>SAP!$C$200</f>
        <v>0.18315999999999999</v>
      </c>
      <c r="Y21" s="146">
        <f>SAP!$C$200</f>
        <v>0.18315999999999999</v>
      </c>
      <c r="Z21" s="146">
        <f>SAP!$C$200</f>
        <v>0.18315999999999999</v>
      </c>
      <c r="AA21" s="146">
        <f>SAP!$C$200</f>
        <v>0.18315999999999999</v>
      </c>
      <c r="AB21" s="146">
        <f>SAP!$C$200</f>
        <v>0.18315999999999999</v>
      </c>
      <c r="AC21" s="146">
        <f>SAP!$C$200</f>
        <v>0.18315999999999999</v>
      </c>
      <c r="AD21" s="146">
        <f>SAP!$C$200</f>
        <v>0.18315999999999999</v>
      </c>
      <c r="AE21" s="146">
        <f>SAP!$C$200</f>
        <v>0.18315999999999999</v>
      </c>
      <c r="AF21" s="146">
        <f>SAP!$C$200</f>
        <v>0.18315999999999999</v>
      </c>
      <c r="AG21" s="146">
        <f>SAP!$C$200</f>
        <v>0.18315999999999999</v>
      </c>
      <c r="AH21" s="146">
        <f>SAP!$C$200</f>
        <v>0.18315999999999999</v>
      </c>
      <c r="AI21" s="146">
        <f>SAP!$C$200</f>
        <v>0.18315999999999999</v>
      </c>
      <c r="AJ21" s="146">
        <f>SAP!$C$200</f>
        <v>0.18315999999999999</v>
      </c>
      <c r="AK21" s="146">
        <f>SAP!$C$200</f>
        <v>0.18315999999999999</v>
      </c>
      <c r="AL21" s="146">
        <f>SAP!$C$200</f>
        <v>0.18315999999999999</v>
      </c>
      <c r="AM21" s="146">
        <f>SAP!$C$200</f>
        <v>0.18315999999999999</v>
      </c>
      <c r="AN21" s="146">
        <f>SAP!$C$200</f>
        <v>0.18315999999999999</v>
      </c>
      <c r="AO21" s="146">
        <f>SAP!$C$200</f>
        <v>0.18315999999999999</v>
      </c>
      <c r="AP21" s="146">
        <f>SAP!$C$200</f>
        <v>0.18315999999999999</v>
      </c>
      <c r="AQ21" s="146">
        <f>SAP!$C$200</f>
        <v>0.18315999999999999</v>
      </c>
      <c r="AR21" s="146">
        <f>SAP!$C$200</f>
        <v>0.18315999999999999</v>
      </c>
      <c r="AS21" s="146">
        <f>SAP!$C$200</f>
        <v>0.18315999999999999</v>
      </c>
      <c r="AT21" s="146">
        <f>SAP!$C$200</f>
        <v>0.18315999999999999</v>
      </c>
      <c r="AU21" s="146">
        <f>SAP!$C$200</f>
        <v>0.18315999999999999</v>
      </c>
      <c r="AV21" s="146">
        <f>SAP!$C$200</f>
        <v>0.18315999999999999</v>
      </c>
      <c r="AW21" s="146">
        <f>SAP!$C$200</f>
        <v>0.18315999999999999</v>
      </c>
      <c r="AX21" s="146">
        <f>SAP!$C$200</f>
        <v>0.18315999999999999</v>
      </c>
      <c r="AY21" s="146">
        <f>SAP!$C$200</f>
        <v>0.18315999999999999</v>
      </c>
      <c r="AZ21" s="146">
        <f>SAP!$C$200</f>
        <v>0.18315999999999999</v>
      </c>
      <c r="BA21" s="146">
        <f>SAP!$C$200</f>
        <v>0.18315999999999999</v>
      </c>
      <c r="BB21" s="146">
        <f>SAP!$C$200</f>
        <v>0.18315999999999999</v>
      </c>
      <c r="BC21" s="146">
        <f>SAP!$C$200</f>
        <v>0.18315999999999999</v>
      </c>
      <c r="BD21" s="146">
        <f>SAP!$C$200</f>
        <v>0.18315999999999999</v>
      </c>
      <c r="BE21" s="146">
        <f>SAP!$C$200</f>
        <v>0.18315999999999999</v>
      </c>
      <c r="BF21" s="146">
        <f>SAP!$C$200</f>
        <v>0.18315999999999999</v>
      </c>
      <c r="BG21" s="146">
        <f>SAP!$C$200</f>
        <v>0.18315999999999999</v>
      </c>
      <c r="BH21" s="146">
        <f>SAP!$C$200</f>
        <v>0.18315999999999999</v>
      </c>
      <c r="BI21" s="146">
        <f>SAP!$C$200</f>
        <v>0.18315999999999999</v>
      </c>
      <c r="BJ21" s="146">
        <f>SAP!$C$200</f>
        <v>0.18315999999999999</v>
      </c>
      <c r="BK21" s="146">
        <f>SAP!$C$200</f>
        <v>0.18315999999999999</v>
      </c>
    </row>
    <row r="22" spans="2:16384">
      <c r="C22" s="146"/>
      <c r="D22" s="7"/>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row>
    <row r="23" spans="2:16384">
      <c r="B23" s="1" t="s">
        <v>753</v>
      </c>
      <c r="X23" s="170"/>
    </row>
    <row r="24" spans="2:16384" s="41" customFormat="1">
      <c r="B24" s="41" t="s">
        <v>719</v>
      </c>
      <c r="C24" s="101">
        <f>INPUT!C8</f>
        <v>2026</v>
      </c>
      <c r="D24" s="101">
        <f t="shared" ref="D24:AI24" si="6">C24+1</f>
        <v>2027</v>
      </c>
      <c r="E24" s="101">
        <f t="shared" si="6"/>
        <v>2028</v>
      </c>
      <c r="F24" s="101">
        <f t="shared" si="6"/>
        <v>2029</v>
      </c>
      <c r="G24" s="101">
        <f t="shared" si="6"/>
        <v>2030</v>
      </c>
      <c r="H24" s="101">
        <f t="shared" si="6"/>
        <v>2031</v>
      </c>
      <c r="I24" s="101">
        <f t="shared" si="6"/>
        <v>2032</v>
      </c>
      <c r="J24" s="101">
        <f t="shared" si="6"/>
        <v>2033</v>
      </c>
      <c r="K24" s="101">
        <f t="shared" si="6"/>
        <v>2034</v>
      </c>
      <c r="L24" s="101">
        <f t="shared" si="6"/>
        <v>2035</v>
      </c>
      <c r="M24" s="101">
        <f t="shared" si="6"/>
        <v>2036</v>
      </c>
      <c r="N24" s="101">
        <f t="shared" si="6"/>
        <v>2037</v>
      </c>
      <c r="O24" s="101">
        <f t="shared" si="6"/>
        <v>2038</v>
      </c>
      <c r="P24" s="101">
        <f t="shared" si="6"/>
        <v>2039</v>
      </c>
      <c r="Q24" s="101">
        <f t="shared" si="6"/>
        <v>2040</v>
      </c>
      <c r="R24" s="101">
        <f t="shared" si="6"/>
        <v>2041</v>
      </c>
      <c r="S24" s="101">
        <f t="shared" si="6"/>
        <v>2042</v>
      </c>
      <c r="T24" s="101">
        <f t="shared" si="6"/>
        <v>2043</v>
      </c>
      <c r="U24" s="101">
        <f t="shared" si="6"/>
        <v>2044</v>
      </c>
      <c r="V24" s="101">
        <f t="shared" si="6"/>
        <v>2045</v>
      </c>
      <c r="W24" s="101">
        <f t="shared" si="6"/>
        <v>2046</v>
      </c>
      <c r="X24" s="101">
        <f t="shared" si="6"/>
        <v>2047</v>
      </c>
      <c r="Y24" s="101">
        <f t="shared" si="6"/>
        <v>2048</v>
      </c>
      <c r="Z24" s="101">
        <f t="shared" si="6"/>
        <v>2049</v>
      </c>
      <c r="AA24" s="101">
        <f t="shared" si="6"/>
        <v>2050</v>
      </c>
      <c r="AB24" s="101">
        <f t="shared" si="6"/>
        <v>2051</v>
      </c>
      <c r="AC24" s="101">
        <f t="shared" si="6"/>
        <v>2052</v>
      </c>
      <c r="AD24" s="101">
        <f t="shared" si="6"/>
        <v>2053</v>
      </c>
      <c r="AE24" s="101">
        <f t="shared" si="6"/>
        <v>2054</v>
      </c>
      <c r="AF24" s="101">
        <f t="shared" si="6"/>
        <v>2055</v>
      </c>
      <c r="AG24" s="101">
        <f t="shared" si="6"/>
        <v>2056</v>
      </c>
      <c r="AH24" s="101">
        <f t="shared" si="6"/>
        <v>2057</v>
      </c>
      <c r="AI24" s="101">
        <f t="shared" si="6"/>
        <v>2058</v>
      </c>
      <c r="AJ24" s="101">
        <f t="shared" ref="AJ24:BK24" si="7">AI24+1</f>
        <v>2059</v>
      </c>
      <c r="AK24" s="101">
        <f t="shared" si="7"/>
        <v>2060</v>
      </c>
      <c r="AL24" s="101">
        <f t="shared" si="7"/>
        <v>2061</v>
      </c>
      <c r="AM24" s="101">
        <f t="shared" si="7"/>
        <v>2062</v>
      </c>
      <c r="AN24" s="101">
        <f t="shared" si="7"/>
        <v>2063</v>
      </c>
      <c r="AO24" s="101">
        <f t="shared" si="7"/>
        <v>2064</v>
      </c>
      <c r="AP24" s="101">
        <f t="shared" si="7"/>
        <v>2065</v>
      </c>
      <c r="AQ24" s="101">
        <f t="shared" si="7"/>
        <v>2066</v>
      </c>
      <c r="AR24" s="101">
        <f t="shared" si="7"/>
        <v>2067</v>
      </c>
      <c r="AS24" s="101">
        <f t="shared" si="7"/>
        <v>2068</v>
      </c>
      <c r="AT24" s="101">
        <f t="shared" si="7"/>
        <v>2069</v>
      </c>
      <c r="AU24" s="101">
        <f t="shared" si="7"/>
        <v>2070</v>
      </c>
      <c r="AV24" s="101">
        <f t="shared" si="7"/>
        <v>2071</v>
      </c>
      <c r="AW24" s="101">
        <f t="shared" si="7"/>
        <v>2072</v>
      </c>
      <c r="AX24" s="101">
        <f t="shared" si="7"/>
        <v>2073</v>
      </c>
      <c r="AY24" s="101">
        <f t="shared" si="7"/>
        <v>2074</v>
      </c>
      <c r="AZ24" s="101">
        <f t="shared" si="7"/>
        <v>2075</v>
      </c>
      <c r="BA24" s="101">
        <f t="shared" si="7"/>
        <v>2076</v>
      </c>
      <c r="BB24" s="101">
        <f t="shared" si="7"/>
        <v>2077</v>
      </c>
      <c r="BC24" s="101">
        <f t="shared" si="7"/>
        <v>2078</v>
      </c>
      <c r="BD24" s="101">
        <f t="shared" si="7"/>
        <v>2079</v>
      </c>
      <c r="BE24" s="101">
        <f t="shared" si="7"/>
        <v>2080</v>
      </c>
      <c r="BF24" s="101">
        <f t="shared" si="7"/>
        <v>2081</v>
      </c>
      <c r="BG24" s="101">
        <f t="shared" si="7"/>
        <v>2082</v>
      </c>
      <c r="BH24" s="101">
        <f t="shared" si="7"/>
        <v>2083</v>
      </c>
      <c r="BI24" s="101">
        <f t="shared" si="7"/>
        <v>2084</v>
      </c>
      <c r="BJ24" s="101">
        <f t="shared" si="7"/>
        <v>2085</v>
      </c>
      <c r="BK24" s="101">
        <f t="shared" si="7"/>
        <v>2086</v>
      </c>
      <c r="BL24" s="101" t="s">
        <v>501</v>
      </c>
      <c r="BM24" s="41" t="s">
        <v>752</v>
      </c>
    </row>
    <row r="25" spans="2:16384">
      <c r="B25" t="s">
        <v>17</v>
      </c>
      <c r="C25" s="7">
        <f>(C6*C$20)+(C11*C$21)</f>
        <v>0</v>
      </c>
      <c r="D25" s="7">
        <f ca="1">(D6*D$20)+(D11*D$21)</f>
        <v>34.283834168119974</v>
      </c>
      <c r="E25" s="7">
        <f t="shared" ref="E25:BK25" ca="1" si="8">(E6*E$20)+(E11*E$21)</f>
        <v>29.613030588316594</v>
      </c>
      <c r="F25" s="7">
        <f t="shared" ca="1" si="8"/>
        <v>26.620989489205154</v>
      </c>
      <c r="G25" s="7">
        <f t="shared" ca="1" si="8"/>
        <v>21.130786005362697</v>
      </c>
      <c r="H25" s="7">
        <f t="shared" ca="1" si="8"/>
        <v>17.00653868353718</v>
      </c>
      <c r="I25" s="7">
        <f t="shared" ca="1" si="8"/>
        <v>12.167619104250528</v>
      </c>
      <c r="J25" s="7">
        <f t="shared" ca="1" si="8"/>
        <v>9.1260882193880182</v>
      </c>
      <c r="K25" s="7">
        <f t="shared" ca="1" si="8"/>
        <v>6.7417692235082995</v>
      </c>
      <c r="L25" s="7">
        <f t="shared" ca="1" si="8"/>
        <v>4.6955224116405931</v>
      </c>
      <c r="M25" s="7">
        <f t="shared" ca="1" si="8"/>
        <v>4.359163313198259</v>
      </c>
      <c r="N25" s="7">
        <f t="shared" ca="1" si="8"/>
        <v>3.9374981813697194</v>
      </c>
      <c r="O25" s="7">
        <f t="shared" ca="1" si="8"/>
        <v>3.7420221431010599</v>
      </c>
      <c r="P25" s="7">
        <f t="shared" ca="1" si="8"/>
        <v>3.5761488135677246</v>
      </c>
      <c r="Q25" s="7">
        <f t="shared" ca="1" si="8"/>
        <v>3.2537932784604795</v>
      </c>
      <c r="R25" s="7">
        <f t="shared" ca="1" si="8"/>
        <v>2.1397303751449805</v>
      </c>
      <c r="S25" s="7">
        <f t="shared" ca="1" si="8"/>
        <v>1.9207137001843888</v>
      </c>
      <c r="T25" s="7">
        <f t="shared" ca="1" si="8"/>
        <v>1.8596189338327096</v>
      </c>
      <c r="U25" s="7">
        <f t="shared" ca="1" si="8"/>
        <v>1.7778049682033488</v>
      </c>
      <c r="V25" s="7">
        <f t="shared" ca="1" si="8"/>
        <v>1.1633656826981924</v>
      </c>
      <c r="W25" s="7">
        <f t="shared" ca="1" si="8"/>
        <v>1.0429597295072097</v>
      </c>
      <c r="X25" s="7">
        <f t="shared" ca="1" si="8"/>
        <v>0.8091939636457316</v>
      </c>
      <c r="Y25" s="7">
        <f t="shared" ca="1" si="8"/>
        <v>0.79953381163482073</v>
      </c>
      <c r="Z25" s="7">
        <f t="shared" ca="1" si="8"/>
        <v>0.76455775127708425</v>
      </c>
      <c r="AA25" s="7">
        <f t="shared" ca="1" si="8"/>
        <v>0.75224846134403178</v>
      </c>
      <c r="AB25" s="7">
        <f t="shared" ca="1" si="8"/>
        <v>0.75224846134403178</v>
      </c>
      <c r="AC25" s="7">
        <f t="shared" ca="1" si="8"/>
        <v>0.75224846134403178</v>
      </c>
      <c r="AD25" s="7">
        <f t="shared" ca="1" si="8"/>
        <v>0.75224846134403178</v>
      </c>
      <c r="AE25" s="7">
        <f t="shared" ca="1" si="8"/>
        <v>0.75224846134403178</v>
      </c>
      <c r="AF25" s="7">
        <f t="shared" ca="1" si="8"/>
        <v>0.75224846134403178</v>
      </c>
      <c r="AG25" s="7">
        <f t="shared" ca="1" si="8"/>
        <v>0.75224846134403178</v>
      </c>
      <c r="AH25" s="7">
        <f t="shared" ca="1" si="8"/>
        <v>0.75224846134403178</v>
      </c>
      <c r="AI25" s="7">
        <f t="shared" ca="1" si="8"/>
        <v>0.75224846134403178</v>
      </c>
      <c r="AJ25" s="7">
        <f t="shared" ca="1" si="8"/>
        <v>0.75224846134403178</v>
      </c>
      <c r="AK25" s="7">
        <f t="shared" ca="1" si="8"/>
        <v>0.75224846134403178</v>
      </c>
      <c r="AL25" s="7">
        <f t="shared" ca="1" si="8"/>
        <v>0.75224846134403178</v>
      </c>
      <c r="AM25" s="7">
        <f t="shared" ca="1" si="8"/>
        <v>0.75224846134403178</v>
      </c>
      <c r="AN25" s="7">
        <f t="shared" ca="1" si="8"/>
        <v>0.75224846134403178</v>
      </c>
      <c r="AO25" s="7">
        <f t="shared" ca="1" si="8"/>
        <v>0.75224846134403178</v>
      </c>
      <c r="AP25" s="7">
        <f t="shared" ca="1" si="8"/>
        <v>0.75224846134403178</v>
      </c>
      <c r="AQ25" s="7">
        <f t="shared" ca="1" si="8"/>
        <v>0.75224846134403178</v>
      </c>
      <c r="AR25" s="7">
        <f t="shared" ca="1" si="8"/>
        <v>0.75224846134403178</v>
      </c>
      <c r="AS25" s="7">
        <f t="shared" ca="1" si="8"/>
        <v>0.75224846134403178</v>
      </c>
      <c r="AT25" s="7">
        <f t="shared" ca="1" si="8"/>
        <v>0.75224846134403178</v>
      </c>
      <c r="AU25" s="7">
        <f t="shared" ca="1" si="8"/>
        <v>0.75224846134403178</v>
      </c>
      <c r="AV25" s="7">
        <f t="shared" ca="1" si="8"/>
        <v>0.75224846134403178</v>
      </c>
      <c r="AW25" s="7">
        <f t="shared" ca="1" si="8"/>
        <v>0.75224846134403178</v>
      </c>
      <c r="AX25" s="7">
        <f t="shared" ca="1" si="8"/>
        <v>0.75224846134403178</v>
      </c>
      <c r="AY25" s="7">
        <f t="shared" ca="1" si="8"/>
        <v>0.75224846134403178</v>
      </c>
      <c r="AZ25" s="7">
        <f t="shared" ca="1" si="8"/>
        <v>0.75224846134403178</v>
      </c>
      <c r="BA25" s="7">
        <f t="shared" ca="1" si="8"/>
        <v>0.75224846134403178</v>
      </c>
      <c r="BB25" s="7">
        <f t="shared" ca="1" si="8"/>
        <v>0.75224846134403178</v>
      </c>
      <c r="BC25" s="7">
        <f t="shared" ca="1" si="8"/>
        <v>0.75224846134403178</v>
      </c>
      <c r="BD25" s="7">
        <f t="shared" ca="1" si="8"/>
        <v>0.75224846134403178</v>
      </c>
      <c r="BE25" s="7">
        <f t="shared" ca="1" si="8"/>
        <v>0.75224846134403178</v>
      </c>
      <c r="BF25" s="7">
        <f t="shared" ca="1" si="8"/>
        <v>0.75224846134403178</v>
      </c>
      <c r="BG25" s="7">
        <f t="shared" ca="1" si="8"/>
        <v>0.75224846134403178</v>
      </c>
      <c r="BH25" s="7">
        <f t="shared" ca="1" si="8"/>
        <v>0.75224846134403178</v>
      </c>
      <c r="BI25" s="7">
        <f t="shared" ca="1" si="8"/>
        <v>0.75224846134403178</v>
      </c>
      <c r="BJ25" s="7">
        <f t="shared" ca="1" si="8"/>
        <v>0.75224846134403178</v>
      </c>
      <c r="BK25" s="7">
        <f t="shared" ca="1" si="8"/>
        <v>0.75224846134403178</v>
      </c>
      <c r="BL25" s="7">
        <f ca="1">SUM(C25:BK25)</f>
        <v>220.36547560888414</v>
      </c>
      <c r="BM25" s="172">
        <f ca="1">BL25/$BL$45</f>
        <v>2.1174731560891585E-3</v>
      </c>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c r="XFC25" s="7"/>
      <c r="XFD25" s="7"/>
    </row>
    <row r="26" spans="2:16384">
      <c r="B26" t="s">
        <v>495</v>
      </c>
      <c r="C26" s="7">
        <f t="shared" ref="C26:BK26" si="9">(C7*C$20)+(C12*C$21)</f>
        <v>0</v>
      </c>
      <c r="D26" s="7">
        <f t="shared" ca="1" si="9"/>
        <v>74.130374136361894</v>
      </c>
      <c r="E26" s="7">
        <f t="shared" ca="1" si="9"/>
        <v>64.030908155096171</v>
      </c>
      <c r="F26" s="7">
        <f t="shared" ca="1" si="9"/>
        <v>57.561353874182288</v>
      </c>
      <c r="G26" s="7">
        <f t="shared" ca="1" si="9"/>
        <v>45.690136776753505</v>
      </c>
      <c r="H26" s="7">
        <f t="shared" ca="1" si="9"/>
        <v>36.772464514702087</v>
      </c>
      <c r="I26" s="7">
        <f t="shared" ca="1" si="9"/>
        <v>26.309488959831203</v>
      </c>
      <c r="J26" s="7">
        <f t="shared" ca="1" si="9"/>
        <v>19.732925167797152</v>
      </c>
      <c r="K26" s="7">
        <f t="shared" ca="1" si="9"/>
        <v>14.577420729225461</v>
      </c>
      <c r="L26" s="7">
        <f t="shared" ca="1" si="9"/>
        <v>10.152914386228849</v>
      </c>
      <c r="M26" s="7">
        <f t="shared" ca="1" si="9"/>
        <v>9.425620417607167</v>
      </c>
      <c r="N26" s="7">
        <f t="shared" ca="1" si="9"/>
        <v>8.5138730958395641</v>
      </c>
      <c r="O26" s="7">
        <f t="shared" ca="1" si="9"/>
        <v>8.0912041557061354</v>
      </c>
      <c r="P26" s="7">
        <f t="shared" ca="1" si="9"/>
        <v>7.7325438052548927</v>
      </c>
      <c r="Q26" s="7">
        <f t="shared" ca="1" si="9"/>
        <v>7.035529104237348</v>
      </c>
      <c r="R26" s="7">
        <f t="shared" ca="1" si="9"/>
        <v>4.6266415968122043</v>
      </c>
      <c r="S26" s="7">
        <f t="shared" ca="1" si="9"/>
        <v>4.1530718094507879</v>
      </c>
      <c r="T26" s="7">
        <f t="shared" ca="1" si="9"/>
        <v>4.0209693769977974</v>
      </c>
      <c r="U26" s="7">
        <f t="shared" ca="1" si="9"/>
        <v>3.8440667630152685</v>
      </c>
      <c r="V26" s="7">
        <f t="shared" ca="1" si="9"/>
        <v>2.5154926631868686</v>
      </c>
      <c r="W26" s="7">
        <f t="shared" ca="1" si="9"/>
        <v>2.255144351077929</v>
      </c>
      <c r="X26" s="7">
        <f t="shared" ca="1" si="9"/>
        <v>1.7496832757907705</v>
      </c>
      <c r="Y26" s="7">
        <f t="shared" ca="1" si="9"/>
        <v>1.7287955687953598</v>
      </c>
      <c r="Z26" s="7">
        <f t="shared" ca="1" si="9"/>
        <v>1.6531684254770089</v>
      </c>
      <c r="AA26" s="7">
        <f t="shared" ca="1" si="9"/>
        <v>1.6265526081324411</v>
      </c>
      <c r="AB26" s="7">
        <f t="shared" ca="1" si="9"/>
        <v>1.6265526081324411</v>
      </c>
      <c r="AC26" s="7">
        <f t="shared" ca="1" si="9"/>
        <v>1.6265526081324411</v>
      </c>
      <c r="AD26" s="7">
        <f t="shared" ca="1" si="9"/>
        <v>1.6265526081324411</v>
      </c>
      <c r="AE26" s="7">
        <f t="shared" ca="1" si="9"/>
        <v>1.6265526081324411</v>
      </c>
      <c r="AF26" s="7">
        <f t="shared" ca="1" si="9"/>
        <v>1.6265526081324411</v>
      </c>
      <c r="AG26" s="7">
        <f t="shared" ca="1" si="9"/>
        <v>1.6265526081324411</v>
      </c>
      <c r="AH26" s="7">
        <f t="shared" ca="1" si="9"/>
        <v>1.6265526081324411</v>
      </c>
      <c r="AI26" s="7">
        <f t="shared" ca="1" si="9"/>
        <v>1.6265526081324411</v>
      </c>
      <c r="AJ26" s="7">
        <f t="shared" ca="1" si="9"/>
        <v>1.6265526081324411</v>
      </c>
      <c r="AK26" s="7">
        <f t="shared" ca="1" si="9"/>
        <v>1.6265526081324411</v>
      </c>
      <c r="AL26" s="7">
        <f t="shared" ca="1" si="9"/>
        <v>1.6265526081324411</v>
      </c>
      <c r="AM26" s="7">
        <f t="shared" ca="1" si="9"/>
        <v>1.6265526081324411</v>
      </c>
      <c r="AN26" s="7">
        <f t="shared" ca="1" si="9"/>
        <v>1.6265526081324411</v>
      </c>
      <c r="AO26" s="7">
        <f t="shared" ca="1" si="9"/>
        <v>1.6265526081324411</v>
      </c>
      <c r="AP26" s="7">
        <f t="shared" ca="1" si="9"/>
        <v>1.6265526081324411</v>
      </c>
      <c r="AQ26" s="7">
        <f t="shared" ca="1" si="9"/>
        <v>1.6265526081324411</v>
      </c>
      <c r="AR26" s="7">
        <f t="shared" ca="1" si="9"/>
        <v>1.6265526081324411</v>
      </c>
      <c r="AS26" s="7">
        <f t="shared" ca="1" si="9"/>
        <v>1.6265526081324411</v>
      </c>
      <c r="AT26" s="7">
        <f t="shared" ca="1" si="9"/>
        <v>1.6265526081324411</v>
      </c>
      <c r="AU26" s="7">
        <f t="shared" ca="1" si="9"/>
        <v>1.6265526081324411</v>
      </c>
      <c r="AV26" s="7">
        <f t="shared" ca="1" si="9"/>
        <v>1.6265526081324411</v>
      </c>
      <c r="AW26" s="7">
        <f t="shared" ca="1" si="9"/>
        <v>1.6265526081324411</v>
      </c>
      <c r="AX26" s="7">
        <f t="shared" ca="1" si="9"/>
        <v>1.6265526081324411</v>
      </c>
      <c r="AY26" s="7">
        <f t="shared" ca="1" si="9"/>
        <v>1.6265526081324411</v>
      </c>
      <c r="AZ26" s="7">
        <f t="shared" ca="1" si="9"/>
        <v>1.6265526081324411</v>
      </c>
      <c r="BA26" s="7">
        <f t="shared" ca="1" si="9"/>
        <v>1.6265526081324411</v>
      </c>
      <c r="BB26" s="7">
        <f t="shared" ca="1" si="9"/>
        <v>1.6265526081324411</v>
      </c>
      <c r="BC26" s="7">
        <f t="shared" ca="1" si="9"/>
        <v>1.6265526081324411</v>
      </c>
      <c r="BD26" s="7">
        <f t="shared" ca="1" si="9"/>
        <v>1.6265526081324411</v>
      </c>
      <c r="BE26" s="7">
        <f t="shared" ca="1" si="9"/>
        <v>1.6265526081324411</v>
      </c>
      <c r="BF26" s="7">
        <f t="shared" ca="1" si="9"/>
        <v>1.6265526081324411</v>
      </c>
      <c r="BG26" s="7">
        <f t="shared" ca="1" si="9"/>
        <v>1.6265526081324411</v>
      </c>
      <c r="BH26" s="7">
        <f t="shared" ca="1" si="9"/>
        <v>1.6265526081324411</v>
      </c>
      <c r="BI26" s="7">
        <f t="shared" ca="1" si="9"/>
        <v>1.6265526081324411</v>
      </c>
      <c r="BJ26" s="7">
        <f t="shared" ca="1" si="9"/>
        <v>1.6265526081324411</v>
      </c>
      <c r="BK26" s="7">
        <f t="shared" ca="1" si="9"/>
        <v>1.6265526081324411</v>
      </c>
      <c r="BL26" s="7">
        <f ca="1">SUM(C26:BK26)</f>
        <v>476.4862376103282</v>
      </c>
      <c r="BM26" s="172">
        <f ca="1">BL26/$BL$45</f>
        <v>4.5785158251219014E-3</v>
      </c>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c r="XFC26" s="7"/>
      <c r="XFD26" s="7"/>
    </row>
    <row r="27" spans="2:16384">
      <c r="B27" t="s">
        <v>497</v>
      </c>
      <c r="C27" s="7">
        <f t="shared" ref="C27:BK27" si="10">(C8*C$20)+(C13*C$21)</f>
        <v>0</v>
      </c>
      <c r="D27" s="7">
        <f t="shared" ca="1" si="10"/>
        <v>4.9274729707899176</v>
      </c>
      <c r="E27" s="7">
        <f t="shared" ca="1" si="10"/>
        <v>4.2561577882905377</v>
      </c>
      <c r="F27" s="7">
        <f t="shared" ca="1" si="10"/>
        <v>3.8261241587067829</v>
      </c>
      <c r="G27" s="7">
        <f t="shared" ca="1" si="10"/>
        <v>3.0370400341567239</v>
      </c>
      <c r="H27" s="7">
        <f t="shared" ca="1" si="10"/>
        <v>2.4442791106411978</v>
      </c>
      <c r="I27" s="7">
        <f t="shared" ca="1" si="10"/>
        <v>1.7488013143761305</v>
      </c>
      <c r="J27" s="7">
        <f t="shared" ca="1" si="10"/>
        <v>1.3116547236100662</v>
      </c>
      <c r="K27" s="7">
        <f t="shared" ca="1" si="10"/>
        <v>0.96896646568869327</v>
      </c>
      <c r="L27" s="7">
        <f t="shared" ca="1" si="10"/>
        <v>0.67486791744582975</v>
      </c>
      <c r="M27" s="7">
        <f t="shared" ca="1" si="10"/>
        <v>0.62652442243513884</v>
      </c>
      <c r="N27" s="7">
        <f t="shared" ca="1" si="10"/>
        <v>0.56592024585381118</v>
      </c>
      <c r="O27" s="7">
        <f t="shared" ca="1" si="10"/>
        <v>0.53782528744622493</v>
      </c>
      <c r="P27" s="7">
        <f t="shared" ca="1" si="10"/>
        <v>0.51398500330990549</v>
      </c>
      <c r="Q27" s="7">
        <f t="shared" ca="1" si="10"/>
        <v>0.4676541822460672</v>
      </c>
      <c r="R27" s="7">
        <f t="shared" ca="1" si="10"/>
        <v>0.30753455219163528</v>
      </c>
      <c r="S27" s="7">
        <f t="shared" ca="1" si="10"/>
        <v>0.27605619592820058</v>
      </c>
      <c r="T27" s="7">
        <f t="shared" ca="1" si="10"/>
        <v>0.26727529912481562</v>
      </c>
      <c r="U27" s="7">
        <f t="shared" ca="1" si="10"/>
        <v>0.25551651793672203</v>
      </c>
      <c r="V27" s="7">
        <f t="shared" ca="1" si="10"/>
        <v>0.16720571358878014</v>
      </c>
      <c r="W27" s="7">
        <f t="shared" ca="1" si="10"/>
        <v>0.14990026645117668</v>
      </c>
      <c r="X27" s="7">
        <f t="shared" ca="1" si="10"/>
        <v>0.11630208466293467</v>
      </c>
      <c r="Y27" s="7">
        <f t="shared" ca="1" si="10"/>
        <v>0.1149136711706145</v>
      </c>
      <c r="Z27" s="7">
        <f t="shared" ca="1" si="10"/>
        <v>0.10988670740710046</v>
      </c>
      <c r="AA27" s="7">
        <f t="shared" ca="1" si="10"/>
        <v>0.10811754433341096</v>
      </c>
      <c r="AB27" s="7">
        <f t="shared" ca="1" si="10"/>
        <v>0.10811754433341096</v>
      </c>
      <c r="AC27" s="7">
        <f t="shared" ca="1" si="10"/>
        <v>0.10811754433341096</v>
      </c>
      <c r="AD27" s="7">
        <f t="shared" ca="1" si="10"/>
        <v>0.10811754433341096</v>
      </c>
      <c r="AE27" s="7">
        <f t="shared" ca="1" si="10"/>
        <v>0.10811754433341096</v>
      </c>
      <c r="AF27" s="7">
        <f t="shared" ca="1" si="10"/>
        <v>0.10811754433341096</v>
      </c>
      <c r="AG27" s="7">
        <f t="shared" ca="1" si="10"/>
        <v>0.10811754433341096</v>
      </c>
      <c r="AH27" s="7">
        <f t="shared" ca="1" si="10"/>
        <v>0.10811754433341096</v>
      </c>
      <c r="AI27" s="7">
        <f t="shared" ca="1" si="10"/>
        <v>0.10811754433341096</v>
      </c>
      <c r="AJ27" s="7">
        <f t="shared" ca="1" si="10"/>
        <v>0.10811754433341096</v>
      </c>
      <c r="AK27" s="7">
        <f t="shared" ca="1" si="10"/>
        <v>0.10811754433341096</v>
      </c>
      <c r="AL27" s="7">
        <f t="shared" ca="1" si="10"/>
        <v>0.10811754433341096</v>
      </c>
      <c r="AM27" s="7">
        <f t="shared" ca="1" si="10"/>
        <v>0.10811754433341096</v>
      </c>
      <c r="AN27" s="7">
        <f t="shared" ca="1" si="10"/>
        <v>0.10811754433341096</v>
      </c>
      <c r="AO27" s="7">
        <f t="shared" ca="1" si="10"/>
        <v>0.10811754433341096</v>
      </c>
      <c r="AP27" s="7">
        <f t="shared" ca="1" si="10"/>
        <v>0.10811754433341096</v>
      </c>
      <c r="AQ27" s="7">
        <f t="shared" ca="1" si="10"/>
        <v>0.10811754433341096</v>
      </c>
      <c r="AR27" s="7">
        <f t="shared" ca="1" si="10"/>
        <v>0.10811754433341096</v>
      </c>
      <c r="AS27" s="7">
        <f t="shared" ca="1" si="10"/>
        <v>0.10811754433341096</v>
      </c>
      <c r="AT27" s="7">
        <f t="shared" ca="1" si="10"/>
        <v>0.10811754433341096</v>
      </c>
      <c r="AU27" s="7">
        <f t="shared" ca="1" si="10"/>
        <v>0.10811754433341096</v>
      </c>
      <c r="AV27" s="7">
        <f t="shared" ca="1" si="10"/>
        <v>0.10811754433341096</v>
      </c>
      <c r="AW27" s="7">
        <f t="shared" ca="1" si="10"/>
        <v>0.10811754433341096</v>
      </c>
      <c r="AX27" s="7">
        <f t="shared" ca="1" si="10"/>
        <v>0.10811754433341096</v>
      </c>
      <c r="AY27" s="7">
        <f t="shared" ca="1" si="10"/>
        <v>0.10811754433341096</v>
      </c>
      <c r="AZ27" s="7">
        <f t="shared" ca="1" si="10"/>
        <v>0.10811754433341096</v>
      </c>
      <c r="BA27" s="7">
        <f t="shared" ca="1" si="10"/>
        <v>0.10811754433341096</v>
      </c>
      <c r="BB27" s="7">
        <f t="shared" ca="1" si="10"/>
        <v>0.10811754433341096</v>
      </c>
      <c r="BC27" s="7">
        <f t="shared" ca="1" si="10"/>
        <v>0.10811754433341096</v>
      </c>
      <c r="BD27" s="7">
        <f t="shared" ca="1" si="10"/>
        <v>0.10811754433341096</v>
      </c>
      <c r="BE27" s="7">
        <f t="shared" ca="1" si="10"/>
        <v>0.10811754433341096</v>
      </c>
      <c r="BF27" s="7">
        <f t="shared" ca="1" si="10"/>
        <v>0.10811754433341096</v>
      </c>
      <c r="BG27" s="7">
        <f t="shared" ca="1" si="10"/>
        <v>0.10811754433341096</v>
      </c>
      <c r="BH27" s="7">
        <f t="shared" ca="1" si="10"/>
        <v>0.10811754433341096</v>
      </c>
      <c r="BI27" s="7">
        <f t="shared" ca="1" si="10"/>
        <v>0.10811754433341096</v>
      </c>
      <c r="BJ27" s="7">
        <f t="shared" ca="1" si="10"/>
        <v>0.10811754433341096</v>
      </c>
      <c r="BK27" s="7">
        <f t="shared" ca="1" si="10"/>
        <v>0.10811754433341096</v>
      </c>
      <c r="BL27" s="7">
        <f ca="1">SUM(C27:BK27)</f>
        <v>31.672213773795196</v>
      </c>
      <c r="BM27" s="172">
        <f ca="1">BL27/$BL$45</f>
        <v>3.0433561461759605E-4</v>
      </c>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c r="XFC27" s="7"/>
      <c r="XFD27" s="7"/>
    </row>
    <row r="28" spans="2:16384">
      <c r="B28" t="s">
        <v>496</v>
      </c>
      <c r="C28" s="7">
        <f t="shared" ref="C28:BK28" si="11">(C9*C$20)+(C14*C$21)</f>
        <v>0</v>
      </c>
      <c r="D28" s="7">
        <f t="shared" ca="1" si="11"/>
        <v>8.9452155522227734</v>
      </c>
      <c r="E28" s="7">
        <f t="shared" ca="1" si="11"/>
        <v>7.7265261658913342</v>
      </c>
      <c r="F28" s="7">
        <f t="shared" ca="1" si="11"/>
        <v>6.9458534896260513</v>
      </c>
      <c r="G28" s="7">
        <f t="shared" ca="1" si="11"/>
        <v>5.5133692071591023</v>
      </c>
      <c r="H28" s="7">
        <f t="shared" ca="1" si="11"/>
        <v>4.437285327407043</v>
      </c>
      <c r="I28" s="7">
        <f t="shared" ca="1" si="11"/>
        <v>3.1747317149863972</v>
      </c>
      <c r="J28" s="7">
        <f t="shared" ca="1" si="11"/>
        <v>2.3811463405962265</v>
      </c>
      <c r="K28" s="7">
        <f t="shared" ca="1" si="11"/>
        <v>1.7590383447747944</v>
      </c>
      <c r="L28" s="7">
        <f t="shared" ca="1" si="11"/>
        <v>1.2251389356408531</v>
      </c>
      <c r="M28" s="7">
        <f t="shared" ca="1" si="11"/>
        <v>1.1373773211212077</v>
      </c>
      <c r="N28" s="7">
        <f t="shared" ca="1" si="11"/>
        <v>1.0273579610762877</v>
      </c>
      <c r="O28" s="7">
        <f t="shared" ca="1" si="11"/>
        <v>0.97635505139491729</v>
      </c>
      <c r="P28" s="7">
        <f t="shared" ca="1" si="11"/>
        <v>0.93307597473842407</v>
      </c>
      <c r="Q28" s="7">
        <f t="shared" ca="1" si="11"/>
        <v>0.8489681199446395</v>
      </c>
      <c r="R28" s="7">
        <f t="shared" ca="1" si="11"/>
        <v>0.55829080654895591</v>
      </c>
      <c r="S28" s="7">
        <f t="shared" ca="1" si="11"/>
        <v>0.50114575802706707</v>
      </c>
      <c r="T28" s="7">
        <f t="shared" ca="1" si="11"/>
        <v>0.48520512981586644</v>
      </c>
      <c r="U28" s="7">
        <f t="shared" ca="1" si="11"/>
        <v>0.46385852213634066</v>
      </c>
      <c r="V28" s="7">
        <f t="shared" ca="1" si="11"/>
        <v>0.30354121848690535</v>
      </c>
      <c r="W28" s="7">
        <f t="shared" ca="1" si="11"/>
        <v>0.27212532726007971</v>
      </c>
      <c r="X28" s="7">
        <f t="shared" ca="1" si="11"/>
        <v>0.2111319986228227</v>
      </c>
      <c r="Y28" s="7">
        <f t="shared" ca="1" si="11"/>
        <v>0.20861150626537253</v>
      </c>
      <c r="Z28" s="7">
        <f t="shared" ca="1" si="11"/>
        <v>0.19948567752832774</v>
      </c>
      <c r="AA28" s="7">
        <f t="shared" ca="1" si="11"/>
        <v>0.19627398156672643</v>
      </c>
      <c r="AB28" s="7">
        <f t="shared" ca="1" si="11"/>
        <v>0.19627398156672643</v>
      </c>
      <c r="AC28" s="7">
        <f t="shared" ca="1" si="11"/>
        <v>0.19627398156672643</v>
      </c>
      <c r="AD28" s="7">
        <f t="shared" ca="1" si="11"/>
        <v>0.19627398156672643</v>
      </c>
      <c r="AE28" s="7">
        <f t="shared" ca="1" si="11"/>
        <v>0.19627398156672643</v>
      </c>
      <c r="AF28" s="7">
        <f t="shared" ca="1" si="11"/>
        <v>0.19627398156672643</v>
      </c>
      <c r="AG28" s="7">
        <f t="shared" ca="1" si="11"/>
        <v>0.19627398156672643</v>
      </c>
      <c r="AH28" s="7">
        <f t="shared" ca="1" si="11"/>
        <v>0.19627398156672643</v>
      </c>
      <c r="AI28" s="7">
        <f t="shared" ca="1" si="11"/>
        <v>0.19627398156672643</v>
      </c>
      <c r="AJ28" s="7">
        <f t="shared" ca="1" si="11"/>
        <v>0.19627398156672643</v>
      </c>
      <c r="AK28" s="7">
        <f t="shared" ca="1" si="11"/>
        <v>0.19627398156672643</v>
      </c>
      <c r="AL28" s="7">
        <f t="shared" ca="1" si="11"/>
        <v>0.19627398156672643</v>
      </c>
      <c r="AM28" s="7">
        <f t="shared" ca="1" si="11"/>
        <v>0.19627398156672643</v>
      </c>
      <c r="AN28" s="7">
        <f t="shared" ca="1" si="11"/>
        <v>0.19627398156672643</v>
      </c>
      <c r="AO28" s="7">
        <f t="shared" ca="1" si="11"/>
        <v>0.19627398156672643</v>
      </c>
      <c r="AP28" s="7">
        <f t="shared" ca="1" si="11"/>
        <v>0.19627398156672643</v>
      </c>
      <c r="AQ28" s="7">
        <f t="shared" ca="1" si="11"/>
        <v>0.19627398156672643</v>
      </c>
      <c r="AR28" s="7">
        <f t="shared" ca="1" si="11"/>
        <v>0.19627398156672643</v>
      </c>
      <c r="AS28" s="7">
        <f t="shared" ca="1" si="11"/>
        <v>0.19627398156672643</v>
      </c>
      <c r="AT28" s="7">
        <f t="shared" ca="1" si="11"/>
        <v>0.19627398156672643</v>
      </c>
      <c r="AU28" s="7">
        <f t="shared" ca="1" si="11"/>
        <v>0.19627398156672643</v>
      </c>
      <c r="AV28" s="7">
        <f t="shared" ca="1" si="11"/>
        <v>0.19627398156672643</v>
      </c>
      <c r="AW28" s="7">
        <f t="shared" ca="1" si="11"/>
        <v>0.19627398156672643</v>
      </c>
      <c r="AX28" s="7">
        <f t="shared" ca="1" si="11"/>
        <v>0.19627398156672643</v>
      </c>
      <c r="AY28" s="7">
        <f t="shared" ca="1" si="11"/>
        <v>0.19627398156672643</v>
      </c>
      <c r="AZ28" s="7">
        <f t="shared" ca="1" si="11"/>
        <v>0.19627398156672643</v>
      </c>
      <c r="BA28" s="7">
        <f t="shared" ca="1" si="11"/>
        <v>0.19627398156672643</v>
      </c>
      <c r="BB28" s="7">
        <f t="shared" ca="1" si="11"/>
        <v>0.19627398156672643</v>
      </c>
      <c r="BC28" s="7">
        <f t="shared" ca="1" si="11"/>
        <v>0.19627398156672643</v>
      </c>
      <c r="BD28" s="7">
        <f t="shared" ca="1" si="11"/>
        <v>0.19627398156672643</v>
      </c>
      <c r="BE28" s="7">
        <f t="shared" ca="1" si="11"/>
        <v>0.19627398156672643</v>
      </c>
      <c r="BF28" s="7">
        <f t="shared" ca="1" si="11"/>
        <v>0.19627398156672643</v>
      </c>
      <c r="BG28" s="7">
        <f t="shared" ca="1" si="11"/>
        <v>0.19627398156672643</v>
      </c>
      <c r="BH28" s="7">
        <f t="shared" ca="1" si="11"/>
        <v>0.19627398156672643</v>
      </c>
      <c r="BI28" s="7">
        <f t="shared" ca="1" si="11"/>
        <v>0.19627398156672643</v>
      </c>
      <c r="BJ28" s="7">
        <f t="shared" ca="1" si="11"/>
        <v>0.19627398156672643</v>
      </c>
      <c r="BK28" s="7">
        <f t="shared" ca="1" si="11"/>
        <v>0.19627398156672643</v>
      </c>
      <c r="BL28" s="7">
        <f ca="1">SUM(C28:BK28)</f>
        <v>57.496972769240664</v>
      </c>
      <c r="BM28" s="172">
        <f ca="1">BL28/$BL$45</f>
        <v>5.5248353245379285E-4</v>
      </c>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c r="XFC28" s="7"/>
      <c r="XFD28" s="7"/>
    </row>
    <row r="29" spans="2:16384">
      <c r="B29" t="s">
        <v>741</v>
      </c>
      <c r="C29" s="146">
        <f t="shared" ref="C29:AH29" si="12">SUM(C25:C28)</f>
        <v>0</v>
      </c>
      <c r="D29" s="7">
        <f t="shared" ca="1" si="12"/>
        <v>122.28689682749456</v>
      </c>
      <c r="E29" s="7">
        <f t="shared" ca="1" si="12"/>
        <v>105.62662269759463</v>
      </c>
      <c r="F29" s="7">
        <f t="shared" ca="1" si="12"/>
        <v>94.954321011720282</v>
      </c>
      <c r="G29" s="7">
        <f t="shared" ca="1" si="12"/>
        <v>75.371332023432018</v>
      </c>
      <c r="H29" s="7">
        <f t="shared" ca="1" si="12"/>
        <v>60.66056763628751</v>
      </c>
      <c r="I29" s="7">
        <f t="shared" ca="1" si="12"/>
        <v>43.400641093444264</v>
      </c>
      <c r="J29" s="7">
        <f t="shared" ca="1" si="12"/>
        <v>32.551814451391465</v>
      </c>
      <c r="K29" s="7">
        <f t="shared" ca="1" si="12"/>
        <v>24.047194763197247</v>
      </c>
      <c r="L29" s="7">
        <f t="shared" ca="1" si="12"/>
        <v>16.748443650956126</v>
      </c>
      <c r="M29" s="7">
        <f t="shared" ca="1" si="12"/>
        <v>15.548685474361772</v>
      </c>
      <c r="N29" s="7">
        <f t="shared" ca="1" si="12"/>
        <v>14.044649484139381</v>
      </c>
      <c r="O29" s="7">
        <f t="shared" ca="1" si="12"/>
        <v>13.347406637648337</v>
      </c>
      <c r="P29" s="7">
        <f t="shared" ca="1" si="12"/>
        <v>12.755753596870946</v>
      </c>
      <c r="Q29" s="7">
        <f t="shared" ca="1" si="12"/>
        <v>11.605944684888534</v>
      </c>
      <c r="R29" s="7">
        <f t="shared" ca="1" si="12"/>
        <v>7.6321973306977755</v>
      </c>
      <c r="S29" s="7">
        <f t="shared" ca="1" si="12"/>
        <v>6.8509874635904442</v>
      </c>
      <c r="T29" s="7">
        <f t="shared" ca="1" si="12"/>
        <v>6.6330687397711889</v>
      </c>
      <c r="U29" s="7">
        <f t="shared" ca="1" si="12"/>
        <v>6.3412467712916794</v>
      </c>
      <c r="V29" s="7">
        <f t="shared" ca="1" si="12"/>
        <v>4.1496052779607462</v>
      </c>
      <c r="W29" s="7">
        <f t="shared" ca="1" si="12"/>
        <v>3.7201296742963956</v>
      </c>
      <c r="X29" s="7">
        <f t="shared" ca="1" si="12"/>
        <v>2.8863113227222592</v>
      </c>
      <c r="Y29" s="7">
        <f t="shared" ca="1" si="12"/>
        <v>2.8518545578661678</v>
      </c>
      <c r="Z29" s="7">
        <f t="shared" ca="1" si="12"/>
        <v>2.7270985616895214</v>
      </c>
      <c r="AA29" s="7">
        <f t="shared" ca="1" si="12"/>
        <v>2.6831925953766098</v>
      </c>
      <c r="AB29" s="7">
        <f t="shared" ca="1" si="12"/>
        <v>2.6831925953766098</v>
      </c>
      <c r="AC29" s="7">
        <f t="shared" ca="1" si="12"/>
        <v>2.6831925953766098</v>
      </c>
      <c r="AD29" s="7">
        <f t="shared" ca="1" si="12"/>
        <v>2.6831925953766098</v>
      </c>
      <c r="AE29" s="7">
        <f t="shared" ca="1" si="12"/>
        <v>2.6831925953766098</v>
      </c>
      <c r="AF29" s="7">
        <f t="shared" ca="1" si="12"/>
        <v>2.6831925953766098</v>
      </c>
      <c r="AG29" s="7">
        <f t="shared" ca="1" si="12"/>
        <v>2.6831925953766098</v>
      </c>
      <c r="AH29" s="7">
        <f t="shared" ca="1" si="12"/>
        <v>2.6831925953766098</v>
      </c>
      <c r="AI29" s="7">
        <f t="shared" ref="AI29:BK29" ca="1" si="13">SUM(AI25:AI28)</f>
        <v>2.6831925953766098</v>
      </c>
      <c r="AJ29" s="7">
        <f t="shared" ca="1" si="13"/>
        <v>2.6831925953766098</v>
      </c>
      <c r="AK29" s="7">
        <f t="shared" ca="1" si="13"/>
        <v>2.6831925953766098</v>
      </c>
      <c r="AL29" s="7">
        <f t="shared" ca="1" si="13"/>
        <v>2.6831925953766098</v>
      </c>
      <c r="AM29" s="7">
        <f t="shared" ca="1" si="13"/>
        <v>2.6831925953766098</v>
      </c>
      <c r="AN29" s="7">
        <f t="shared" ca="1" si="13"/>
        <v>2.6831925953766098</v>
      </c>
      <c r="AO29" s="7">
        <f t="shared" ca="1" si="13"/>
        <v>2.6831925953766098</v>
      </c>
      <c r="AP29" s="7">
        <f t="shared" ca="1" si="13"/>
        <v>2.6831925953766098</v>
      </c>
      <c r="AQ29" s="7">
        <f t="shared" ca="1" si="13"/>
        <v>2.6831925953766098</v>
      </c>
      <c r="AR29" s="7">
        <f t="shared" ca="1" si="13"/>
        <v>2.6831925953766098</v>
      </c>
      <c r="AS29" s="7">
        <f t="shared" ca="1" si="13"/>
        <v>2.6831925953766098</v>
      </c>
      <c r="AT29" s="7">
        <f t="shared" ca="1" si="13"/>
        <v>2.6831925953766098</v>
      </c>
      <c r="AU29" s="7">
        <f t="shared" ca="1" si="13"/>
        <v>2.6831925953766098</v>
      </c>
      <c r="AV29" s="7">
        <f t="shared" ca="1" si="13"/>
        <v>2.6831925953766098</v>
      </c>
      <c r="AW29" s="7">
        <f t="shared" ca="1" si="13"/>
        <v>2.6831925953766098</v>
      </c>
      <c r="AX29" s="7">
        <f t="shared" ca="1" si="13"/>
        <v>2.6831925953766098</v>
      </c>
      <c r="AY29" s="7">
        <f t="shared" ca="1" si="13"/>
        <v>2.6831925953766098</v>
      </c>
      <c r="AZ29" s="7">
        <f t="shared" ca="1" si="13"/>
        <v>2.6831925953766098</v>
      </c>
      <c r="BA29" s="7">
        <f t="shared" ca="1" si="13"/>
        <v>2.6831925953766098</v>
      </c>
      <c r="BB29" s="7">
        <f t="shared" ca="1" si="13"/>
        <v>2.6831925953766098</v>
      </c>
      <c r="BC29" s="7">
        <f t="shared" ca="1" si="13"/>
        <v>2.6831925953766098</v>
      </c>
      <c r="BD29" s="7">
        <f t="shared" ca="1" si="13"/>
        <v>2.6831925953766098</v>
      </c>
      <c r="BE29" s="7">
        <f t="shared" ca="1" si="13"/>
        <v>2.6831925953766098</v>
      </c>
      <c r="BF29" s="7">
        <f t="shared" ca="1" si="13"/>
        <v>2.6831925953766098</v>
      </c>
      <c r="BG29" s="7">
        <f t="shared" ca="1" si="13"/>
        <v>2.6831925953766098</v>
      </c>
      <c r="BH29" s="7">
        <f t="shared" ca="1" si="13"/>
        <v>2.6831925953766098</v>
      </c>
      <c r="BI29" s="7">
        <f t="shared" ca="1" si="13"/>
        <v>2.6831925953766098</v>
      </c>
      <c r="BJ29" s="7">
        <f t="shared" ca="1" si="13"/>
        <v>2.6831925953766098</v>
      </c>
      <c r="BK29" s="7">
        <f t="shared" ca="1" si="13"/>
        <v>2.6831925953766098</v>
      </c>
      <c r="BL29" s="7">
        <f ca="1">SUM(C29:BK29)</f>
        <v>786.02089976224613</v>
      </c>
      <c r="BM29" s="45">
        <f ca="1">BL29/$BL$45</f>
        <v>7.5528081282824283E-3</v>
      </c>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c r="XFC29" s="7"/>
      <c r="XFD29" s="7"/>
    </row>
    <row r="31" spans="2:16384">
      <c r="B31" s="1" t="s">
        <v>754</v>
      </c>
    </row>
    <row r="32" spans="2:16384" s="41" customFormat="1">
      <c r="B32" s="41" t="s">
        <v>719</v>
      </c>
      <c r="C32" s="101">
        <f>INPUT!C8</f>
        <v>2026</v>
      </c>
      <c r="D32" s="101">
        <f t="shared" ref="D32:AI32" si="14">C32+1</f>
        <v>2027</v>
      </c>
      <c r="E32" s="101">
        <f t="shared" si="14"/>
        <v>2028</v>
      </c>
      <c r="F32" s="101">
        <f t="shared" si="14"/>
        <v>2029</v>
      </c>
      <c r="G32" s="101">
        <f t="shared" si="14"/>
        <v>2030</v>
      </c>
      <c r="H32" s="101">
        <f t="shared" si="14"/>
        <v>2031</v>
      </c>
      <c r="I32" s="101">
        <f t="shared" si="14"/>
        <v>2032</v>
      </c>
      <c r="J32" s="101">
        <f t="shared" si="14"/>
        <v>2033</v>
      </c>
      <c r="K32" s="101">
        <f t="shared" si="14"/>
        <v>2034</v>
      </c>
      <c r="L32" s="101">
        <f t="shared" si="14"/>
        <v>2035</v>
      </c>
      <c r="M32" s="101">
        <f t="shared" si="14"/>
        <v>2036</v>
      </c>
      <c r="N32" s="101">
        <f t="shared" si="14"/>
        <v>2037</v>
      </c>
      <c r="O32" s="101">
        <f t="shared" si="14"/>
        <v>2038</v>
      </c>
      <c r="P32" s="101">
        <f t="shared" si="14"/>
        <v>2039</v>
      </c>
      <c r="Q32" s="101">
        <f t="shared" si="14"/>
        <v>2040</v>
      </c>
      <c r="R32" s="101">
        <f t="shared" si="14"/>
        <v>2041</v>
      </c>
      <c r="S32" s="101">
        <f t="shared" si="14"/>
        <v>2042</v>
      </c>
      <c r="T32" s="101">
        <f t="shared" si="14"/>
        <v>2043</v>
      </c>
      <c r="U32" s="101">
        <f t="shared" si="14"/>
        <v>2044</v>
      </c>
      <c r="V32" s="101">
        <f t="shared" si="14"/>
        <v>2045</v>
      </c>
      <c r="W32" s="101">
        <f t="shared" si="14"/>
        <v>2046</v>
      </c>
      <c r="X32" s="101">
        <f t="shared" si="14"/>
        <v>2047</v>
      </c>
      <c r="Y32" s="101">
        <f t="shared" si="14"/>
        <v>2048</v>
      </c>
      <c r="Z32" s="101">
        <f t="shared" si="14"/>
        <v>2049</v>
      </c>
      <c r="AA32" s="101">
        <f t="shared" si="14"/>
        <v>2050</v>
      </c>
      <c r="AB32" s="101">
        <f t="shared" si="14"/>
        <v>2051</v>
      </c>
      <c r="AC32" s="101">
        <f t="shared" si="14"/>
        <v>2052</v>
      </c>
      <c r="AD32" s="101">
        <f t="shared" si="14"/>
        <v>2053</v>
      </c>
      <c r="AE32" s="101">
        <f t="shared" si="14"/>
        <v>2054</v>
      </c>
      <c r="AF32" s="101">
        <f t="shared" si="14"/>
        <v>2055</v>
      </c>
      <c r="AG32" s="101">
        <f t="shared" si="14"/>
        <v>2056</v>
      </c>
      <c r="AH32" s="101">
        <f t="shared" si="14"/>
        <v>2057</v>
      </c>
      <c r="AI32" s="101">
        <f t="shared" si="14"/>
        <v>2058</v>
      </c>
      <c r="AJ32" s="101">
        <f t="shared" ref="AJ32:BK32" si="15">AI32+1</f>
        <v>2059</v>
      </c>
      <c r="AK32" s="101">
        <f t="shared" si="15"/>
        <v>2060</v>
      </c>
      <c r="AL32" s="101">
        <f t="shared" si="15"/>
        <v>2061</v>
      </c>
      <c r="AM32" s="101">
        <f t="shared" si="15"/>
        <v>2062</v>
      </c>
      <c r="AN32" s="101">
        <f t="shared" si="15"/>
        <v>2063</v>
      </c>
      <c r="AO32" s="101">
        <f t="shared" si="15"/>
        <v>2064</v>
      </c>
      <c r="AP32" s="101">
        <f t="shared" si="15"/>
        <v>2065</v>
      </c>
      <c r="AQ32" s="101">
        <f t="shared" si="15"/>
        <v>2066</v>
      </c>
      <c r="AR32" s="101">
        <f t="shared" si="15"/>
        <v>2067</v>
      </c>
      <c r="AS32" s="101">
        <f t="shared" si="15"/>
        <v>2068</v>
      </c>
      <c r="AT32" s="101">
        <f t="shared" si="15"/>
        <v>2069</v>
      </c>
      <c r="AU32" s="101">
        <f t="shared" si="15"/>
        <v>2070</v>
      </c>
      <c r="AV32" s="101">
        <f t="shared" si="15"/>
        <v>2071</v>
      </c>
      <c r="AW32" s="101">
        <f t="shared" si="15"/>
        <v>2072</v>
      </c>
      <c r="AX32" s="101">
        <f t="shared" si="15"/>
        <v>2073</v>
      </c>
      <c r="AY32" s="101">
        <f t="shared" si="15"/>
        <v>2074</v>
      </c>
      <c r="AZ32" s="101">
        <f t="shared" si="15"/>
        <v>2075</v>
      </c>
      <c r="BA32" s="101">
        <f t="shared" si="15"/>
        <v>2076</v>
      </c>
      <c r="BB32" s="101">
        <f t="shared" si="15"/>
        <v>2077</v>
      </c>
      <c r="BC32" s="101">
        <f t="shared" si="15"/>
        <v>2078</v>
      </c>
      <c r="BD32" s="101">
        <f t="shared" si="15"/>
        <v>2079</v>
      </c>
      <c r="BE32" s="101">
        <f t="shared" si="15"/>
        <v>2080</v>
      </c>
      <c r="BF32" s="101">
        <f t="shared" si="15"/>
        <v>2081</v>
      </c>
      <c r="BG32" s="101">
        <f t="shared" si="15"/>
        <v>2082</v>
      </c>
      <c r="BH32" s="101">
        <f t="shared" si="15"/>
        <v>2083</v>
      </c>
      <c r="BI32" s="101">
        <f t="shared" si="15"/>
        <v>2084</v>
      </c>
      <c r="BJ32" s="101">
        <f t="shared" si="15"/>
        <v>2085</v>
      </c>
      <c r="BK32" s="101">
        <f t="shared" si="15"/>
        <v>2086</v>
      </c>
      <c r="BL32" s="101" t="s">
        <v>501</v>
      </c>
      <c r="BM32" s="41" t="s">
        <v>752</v>
      </c>
    </row>
    <row r="33" spans="2:65">
      <c r="B33" t="s">
        <v>17</v>
      </c>
      <c r="C33" s="7">
        <f>Embodied!E23</f>
        <v>19907</v>
      </c>
      <c r="D33" s="146">
        <v>0</v>
      </c>
      <c r="E33" s="146">
        <v>0</v>
      </c>
      <c r="F33" s="146">
        <v>0</v>
      </c>
      <c r="G33" s="146">
        <v>0</v>
      </c>
      <c r="H33" s="146">
        <v>0</v>
      </c>
      <c r="I33" s="146">
        <v>0</v>
      </c>
      <c r="J33" s="146">
        <v>0</v>
      </c>
      <c r="K33" s="146">
        <v>0</v>
      </c>
      <c r="L33" s="146">
        <v>0</v>
      </c>
      <c r="M33" s="146">
        <v>0</v>
      </c>
      <c r="N33" s="146">
        <v>0</v>
      </c>
      <c r="O33" s="146">
        <v>0</v>
      </c>
      <c r="P33" s="146">
        <v>0</v>
      </c>
      <c r="Q33" s="146">
        <v>0</v>
      </c>
      <c r="R33" s="7">
        <f>Embodied!F23</f>
        <v>633.86291739894557</v>
      </c>
      <c r="S33" s="146">
        <v>0</v>
      </c>
      <c r="T33" s="146">
        <v>0</v>
      </c>
      <c r="U33" s="146">
        <v>0</v>
      </c>
      <c r="V33" s="146">
        <v>0</v>
      </c>
      <c r="W33" s="146">
        <v>0</v>
      </c>
      <c r="X33" s="146">
        <v>0</v>
      </c>
      <c r="Y33" s="146">
        <v>0</v>
      </c>
      <c r="Z33" s="146">
        <v>0</v>
      </c>
      <c r="AA33" s="146">
        <v>0</v>
      </c>
      <c r="AB33" s="7">
        <f>Embodied!G23</f>
        <v>2261.738137082601</v>
      </c>
      <c r="AC33" s="146">
        <v>0</v>
      </c>
      <c r="AD33" s="146">
        <v>0</v>
      </c>
      <c r="AE33" s="146">
        <v>0</v>
      </c>
      <c r="AF33" s="146">
        <v>0</v>
      </c>
      <c r="AG33" s="146">
        <v>0</v>
      </c>
      <c r="AH33" s="146">
        <v>0</v>
      </c>
      <c r="AI33" s="146">
        <v>0</v>
      </c>
      <c r="AJ33" s="146">
        <v>0</v>
      </c>
      <c r="AK33" s="146">
        <v>0</v>
      </c>
      <c r="AL33" s="146">
        <v>0</v>
      </c>
      <c r="AM33" s="146">
        <v>0</v>
      </c>
      <c r="AN33" s="146">
        <v>0</v>
      </c>
      <c r="AO33" s="146">
        <v>0</v>
      </c>
      <c r="AP33" s="146">
        <v>0</v>
      </c>
      <c r="AQ33" s="146">
        <v>0</v>
      </c>
      <c r="AR33" s="146">
        <v>0</v>
      </c>
      <c r="AS33" s="146">
        <v>0</v>
      </c>
      <c r="AT33" s="146">
        <v>0</v>
      </c>
      <c r="AU33" s="146">
        <v>0</v>
      </c>
      <c r="AV33" s="146">
        <v>0</v>
      </c>
      <c r="AW33" s="146">
        <v>0</v>
      </c>
      <c r="AX33" s="146">
        <v>0</v>
      </c>
      <c r="AY33" s="146">
        <v>0</v>
      </c>
      <c r="AZ33" s="146">
        <v>0</v>
      </c>
      <c r="BA33" s="7">
        <f>Embodied!H23</f>
        <v>893.17047451669589</v>
      </c>
      <c r="BB33" s="146">
        <v>0</v>
      </c>
      <c r="BC33" s="146">
        <v>0</v>
      </c>
      <c r="BD33" s="146">
        <v>0</v>
      </c>
      <c r="BE33" s="146">
        <v>0</v>
      </c>
      <c r="BF33" s="146">
        <v>0</v>
      </c>
      <c r="BG33" s="146">
        <v>0</v>
      </c>
      <c r="BH33" s="146">
        <v>0</v>
      </c>
      <c r="BI33" s="146">
        <v>0</v>
      </c>
      <c r="BJ33" s="146">
        <v>0</v>
      </c>
      <c r="BK33" s="7">
        <f>Embodied!I23</f>
        <v>4408.2284710017566</v>
      </c>
      <c r="BL33" s="7">
        <f>SUM(C33:BK33)</f>
        <v>28104</v>
      </c>
      <c r="BM33" s="45">
        <f ca="1">BL33/$BL$45</f>
        <v>0.27004895124475004</v>
      </c>
    </row>
    <row r="34" spans="2:65">
      <c r="B34" t="s">
        <v>495</v>
      </c>
      <c r="C34" s="7">
        <f>Embodied!E24</f>
        <v>43044</v>
      </c>
      <c r="D34" s="146">
        <v>0</v>
      </c>
      <c r="E34" s="146">
        <v>0</v>
      </c>
      <c r="F34" s="146">
        <v>0</v>
      </c>
      <c r="G34" s="146">
        <v>0</v>
      </c>
      <c r="H34" s="146">
        <v>0</v>
      </c>
      <c r="I34" s="146">
        <v>0</v>
      </c>
      <c r="J34" s="146">
        <v>0</v>
      </c>
      <c r="K34" s="146">
        <v>0</v>
      </c>
      <c r="L34" s="146">
        <v>0</v>
      </c>
      <c r="M34" s="146">
        <v>0</v>
      </c>
      <c r="N34" s="146">
        <v>0</v>
      </c>
      <c r="O34" s="146">
        <v>0</v>
      </c>
      <c r="P34" s="146">
        <v>0</v>
      </c>
      <c r="Q34" s="146">
        <v>0</v>
      </c>
      <c r="R34" s="7">
        <f>Embodied!F24</f>
        <v>1370.5729349736382</v>
      </c>
      <c r="S34" s="146">
        <v>0</v>
      </c>
      <c r="T34" s="146">
        <v>0</v>
      </c>
      <c r="U34" s="146">
        <v>0</v>
      </c>
      <c r="V34" s="146">
        <v>0</v>
      </c>
      <c r="W34" s="146">
        <v>0</v>
      </c>
      <c r="X34" s="146">
        <v>0</v>
      </c>
      <c r="Y34" s="146">
        <v>0</v>
      </c>
      <c r="Z34" s="146">
        <v>0</v>
      </c>
      <c r="AA34" s="146">
        <v>0</v>
      </c>
      <c r="AB34" s="7">
        <f>Embodied!G24</f>
        <v>4890.4534270650265</v>
      </c>
      <c r="AC34" s="146">
        <v>0</v>
      </c>
      <c r="AD34" s="146">
        <v>0</v>
      </c>
      <c r="AE34" s="146">
        <v>0</v>
      </c>
      <c r="AF34" s="146">
        <v>0</v>
      </c>
      <c r="AG34" s="146">
        <v>0</v>
      </c>
      <c r="AH34" s="146">
        <v>0</v>
      </c>
      <c r="AI34" s="146">
        <v>0</v>
      </c>
      <c r="AJ34" s="146">
        <v>0</v>
      </c>
      <c r="AK34" s="146">
        <v>0</v>
      </c>
      <c r="AL34" s="146">
        <v>0</v>
      </c>
      <c r="AM34" s="146">
        <v>0</v>
      </c>
      <c r="AN34" s="146">
        <v>0</v>
      </c>
      <c r="AO34" s="146">
        <v>0</v>
      </c>
      <c r="AP34" s="146">
        <v>0</v>
      </c>
      <c r="AQ34" s="146">
        <v>0</v>
      </c>
      <c r="AR34" s="146">
        <v>0</v>
      </c>
      <c r="AS34" s="146">
        <v>0</v>
      </c>
      <c r="AT34" s="146">
        <v>0</v>
      </c>
      <c r="AU34" s="146">
        <v>0</v>
      </c>
      <c r="AV34" s="146">
        <v>0</v>
      </c>
      <c r="AW34" s="146">
        <v>0</v>
      </c>
      <c r="AX34" s="146">
        <v>0</v>
      </c>
      <c r="AY34" s="146">
        <v>0</v>
      </c>
      <c r="AZ34" s="146">
        <v>0</v>
      </c>
      <c r="BA34" s="7">
        <f>Embodied!H24</f>
        <v>1931.2618629173987</v>
      </c>
      <c r="BB34" s="146">
        <v>0</v>
      </c>
      <c r="BC34" s="146">
        <v>0</v>
      </c>
      <c r="BD34" s="146">
        <v>0</v>
      </c>
      <c r="BE34" s="146">
        <v>0</v>
      </c>
      <c r="BF34" s="146">
        <v>0</v>
      </c>
      <c r="BG34" s="146">
        <v>0</v>
      </c>
      <c r="BH34" s="146">
        <v>0</v>
      </c>
      <c r="BI34" s="146">
        <v>0</v>
      </c>
      <c r="BJ34" s="146">
        <v>0</v>
      </c>
      <c r="BK34" s="7">
        <f>Embodied!I24</f>
        <v>9531.7117750439356</v>
      </c>
      <c r="BL34" s="7">
        <f>SUM(C34:BK34)</f>
        <v>60767.999999999993</v>
      </c>
      <c r="BM34" s="45">
        <f ca="1">BL34/$BL$45</f>
        <v>0.58391455555226901</v>
      </c>
    </row>
    <row r="35" spans="2:65">
      <c r="B35" t="s">
        <v>497</v>
      </c>
      <c r="C35" s="7">
        <f>Embodied!E25</f>
        <v>4250</v>
      </c>
      <c r="D35" s="146">
        <v>0</v>
      </c>
      <c r="E35" s="146">
        <v>0</v>
      </c>
      <c r="F35" s="146">
        <v>0</v>
      </c>
      <c r="G35" s="146">
        <v>0</v>
      </c>
      <c r="H35" s="146">
        <v>0</v>
      </c>
      <c r="I35" s="146">
        <v>0</v>
      </c>
      <c r="J35" s="146">
        <v>0</v>
      </c>
      <c r="K35" s="146">
        <v>0</v>
      </c>
      <c r="L35" s="146">
        <v>0</v>
      </c>
      <c r="M35" s="146">
        <v>0</v>
      </c>
      <c r="N35" s="146">
        <v>0</v>
      </c>
      <c r="O35" s="146">
        <v>0</v>
      </c>
      <c r="P35" s="146">
        <v>0</v>
      </c>
      <c r="Q35" s="146">
        <v>0</v>
      </c>
      <c r="R35" s="7">
        <f>Embodied!F25</f>
        <v>135.32513181019334</v>
      </c>
      <c r="S35" s="146">
        <v>0</v>
      </c>
      <c r="T35" s="146">
        <v>0</v>
      </c>
      <c r="U35" s="146">
        <v>0</v>
      </c>
      <c r="V35" s="146">
        <v>0</v>
      </c>
      <c r="W35" s="146">
        <v>0</v>
      </c>
      <c r="X35" s="146">
        <v>0</v>
      </c>
      <c r="Y35" s="146">
        <v>0</v>
      </c>
      <c r="Z35" s="146">
        <v>0</v>
      </c>
      <c r="AA35" s="146">
        <v>0</v>
      </c>
      <c r="AB35" s="7">
        <f>Embodied!G25</f>
        <v>482.86467486818981</v>
      </c>
      <c r="AC35" s="146">
        <v>0</v>
      </c>
      <c r="AD35" s="146">
        <v>0</v>
      </c>
      <c r="AE35" s="146">
        <v>0</v>
      </c>
      <c r="AF35" s="146">
        <v>0</v>
      </c>
      <c r="AG35" s="146">
        <v>0</v>
      </c>
      <c r="AH35" s="146">
        <v>0</v>
      </c>
      <c r="AI35" s="146">
        <v>0</v>
      </c>
      <c r="AJ35" s="146">
        <v>0</v>
      </c>
      <c r="AK35" s="146">
        <v>0</v>
      </c>
      <c r="AL35" s="146">
        <v>0</v>
      </c>
      <c r="AM35" s="146">
        <v>0</v>
      </c>
      <c r="AN35" s="146">
        <v>0</v>
      </c>
      <c r="AO35" s="146">
        <v>0</v>
      </c>
      <c r="AP35" s="146">
        <v>0</v>
      </c>
      <c r="AQ35" s="146">
        <v>0</v>
      </c>
      <c r="AR35" s="146">
        <v>0</v>
      </c>
      <c r="AS35" s="146">
        <v>0</v>
      </c>
      <c r="AT35" s="146">
        <v>0</v>
      </c>
      <c r="AU35" s="146">
        <v>0</v>
      </c>
      <c r="AV35" s="146">
        <v>0</v>
      </c>
      <c r="AW35" s="146">
        <v>0</v>
      </c>
      <c r="AX35" s="146">
        <v>0</v>
      </c>
      <c r="AY35" s="146">
        <v>0</v>
      </c>
      <c r="AZ35" s="146">
        <v>0</v>
      </c>
      <c r="BA35" s="7">
        <f>Embodied!H25</f>
        <v>190.68541300527238</v>
      </c>
      <c r="BB35" s="146">
        <v>0</v>
      </c>
      <c r="BC35" s="146">
        <v>0</v>
      </c>
      <c r="BD35" s="146">
        <v>0</v>
      </c>
      <c r="BE35" s="146">
        <v>0</v>
      </c>
      <c r="BF35" s="146">
        <v>0</v>
      </c>
      <c r="BG35" s="146">
        <v>0</v>
      </c>
      <c r="BH35" s="146">
        <v>0</v>
      </c>
      <c r="BI35" s="146">
        <v>0</v>
      </c>
      <c r="BJ35" s="146">
        <v>0</v>
      </c>
      <c r="BK35" s="7">
        <f>Embodied!I25</f>
        <v>941.1247803163443</v>
      </c>
      <c r="BL35" s="7">
        <f>SUM(C35:BK35)</f>
        <v>5999.9999999999991</v>
      </c>
      <c r="BM35" s="45">
        <f ca="1">BL35/$BL$45</f>
        <v>5.7653490872064478E-2</v>
      </c>
    </row>
    <row r="36" spans="2:65">
      <c r="B36" t="s">
        <v>496</v>
      </c>
      <c r="C36" s="7">
        <f>Embodied!E26</f>
        <v>5958.4999999999991</v>
      </c>
      <c r="D36" s="146">
        <v>0</v>
      </c>
      <c r="E36" s="146">
        <v>0</v>
      </c>
      <c r="F36" s="146">
        <v>0</v>
      </c>
      <c r="G36" s="146">
        <v>0</v>
      </c>
      <c r="H36" s="146">
        <v>0</v>
      </c>
      <c r="I36" s="146">
        <v>0</v>
      </c>
      <c r="J36" s="146">
        <v>0</v>
      </c>
      <c r="K36" s="146">
        <v>0</v>
      </c>
      <c r="L36" s="146">
        <v>0</v>
      </c>
      <c r="M36" s="146">
        <v>0</v>
      </c>
      <c r="N36" s="146">
        <v>0</v>
      </c>
      <c r="O36" s="146">
        <v>0</v>
      </c>
      <c r="P36" s="146">
        <v>0</v>
      </c>
      <c r="Q36" s="146">
        <v>0</v>
      </c>
      <c r="R36" s="7">
        <f>Embodied!F26</f>
        <v>189.72583479789103</v>
      </c>
      <c r="S36" s="146">
        <v>0</v>
      </c>
      <c r="T36" s="146">
        <v>0</v>
      </c>
      <c r="U36" s="146">
        <v>0</v>
      </c>
      <c r="V36" s="146">
        <v>0</v>
      </c>
      <c r="W36" s="146">
        <v>0</v>
      </c>
      <c r="X36" s="146">
        <v>0</v>
      </c>
      <c r="Y36" s="146">
        <v>0</v>
      </c>
      <c r="Z36" s="146">
        <v>0</v>
      </c>
      <c r="AA36" s="146">
        <v>0</v>
      </c>
      <c r="AB36" s="7">
        <f>Embodied!G26</f>
        <v>676.97627416520197</v>
      </c>
      <c r="AC36" s="146">
        <v>0</v>
      </c>
      <c r="AD36" s="146">
        <v>0</v>
      </c>
      <c r="AE36" s="146">
        <v>0</v>
      </c>
      <c r="AF36" s="146">
        <v>0</v>
      </c>
      <c r="AG36" s="146">
        <v>0</v>
      </c>
      <c r="AH36" s="146">
        <v>0</v>
      </c>
      <c r="AI36" s="146">
        <v>0</v>
      </c>
      <c r="AJ36" s="146">
        <v>0</v>
      </c>
      <c r="AK36" s="146">
        <v>0</v>
      </c>
      <c r="AL36" s="146">
        <v>0</v>
      </c>
      <c r="AM36" s="146">
        <v>0</v>
      </c>
      <c r="AN36" s="146">
        <v>0</v>
      </c>
      <c r="AO36" s="146">
        <v>0</v>
      </c>
      <c r="AP36" s="146">
        <v>0</v>
      </c>
      <c r="AQ36" s="146">
        <v>0</v>
      </c>
      <c r="AR36" s="146">
        <v>0</v>
      </c>
      <c r="AS36" s="146">
        <v>0</v>
      </c>
      <c r="AT36" s="146">
        <v>0</v>
      </c>
      <c r="AU36" s="146">
        <v>0</v>
      </c>
      <c r="AV36" s="146">
        <v>0</v>
      </c>
      <c r="AW36" s="146">
        <v>0</v>
      </c>
      <c r="AX36" s="146">
        <v>0</v>
      </c>
      <c r="AY36" s="146">
        <v>0</v>
      </c>
      <c r="AZ36" s="146">
        <v>0</v>
      </c>
      <c r="BA36" s="7">
        <f>Embodied!H26</f>
        <v>267.34094903339184</v>
      </c>
      <c r="BB36" s="146">
        <v>0</v>
      </c>
      <c r="BC36" s="146">
        <v>0</v>
      </c>
      <c r="BD36" s="146">
        <v>0</v>
      </c>
      <c r="BE36" s="146">
        <v>0</v>
      </c>
      <c r="BF36" s="146">
        <v>0</v>
      </c>
      <c r="BG36" s="146">
        <v>0</v>
      </c>
      <c r="BH36" s="146">
        <v>0</v>
      </c>
      <c r="BI36" s="146">
        <v>0</v>
      </c>
      <c r="BJ36" s="146">
        <v>0</v>
      </c>
      <c r="BK36" s="7">
        <f>Embodied!I26</f>
        <v>1319.4569420035145</v>
      </c>
      <c r="BL36" s="7">
        <f>SUM(C36:BK36)</f>
        <v>8411.9999999999982</v>
      </c>
      <c r="BM36" s="45">
        <f ca="1">BL36/$BL$45</f>
        <v>8.0830194202634389E-2</v>
      </c>
    </row>
    <row r="37" spans="2:65">
      <c r="B37" t="s">
        <v>720</v>
      </c>
      <c r="C37" s="7">
        <f>Embodied!E27</f>
        <v>73159.5</v>
      </c>
      <c r="D37" s="145">
        <v>0</v>
      </c>
      <c r="E37" s="145">
        <v>0</v>
      </c>
      <c r="F37" s="145">
        <v>0</v>
      </c>
      <c r="G37" s="145">
        <v>0</v>
      </c>
      <c r="H37" s="145">
        <v>0</v>
      </c>
      <c r="I37" s="145">
        <v>0</v>
      </c>
      <c r="J37" s="145">
        <v>0</v>
      </c>
      <c r="K37" s="145">
        <v>0</v>
      </c>
      <c r="L37" s="145">
        <v>0</v>
      </c>
      <c r="M37" s="145">
        <v>0</v>
      </c>
      <c r="N37" s="145">
        <v>0</v>
      </c>
      <c r="O37" s="145">
        <v>0</v>
      </c>
      <c r="P37" s="145">
        <v>0</v>
      </c>
      <c r="Q37" s="145">
        <v>0</v>
      </c>
      <c r="R37" s="7">
        <f>Embodied!F27</f>
        <v>2329.486818980668</v>
      </c>
      <c r="S37" s="145">
        <v>0</v>
      </c>
      <c r="T37" s="145">
        <v>0</v>
      </c>
      <c r="U37" s="145">
        <v>0</v>
      </c>
      <c r="V37" s="145">
        <v>0</v>
      </c>
      <c r="W37" s="145">
        <v>0</v>
      </c>
      <c r="X37" s="145">
        <v>0</v>
      </c>
      <c r="Y37" s="145">
        <v>0</v>
      </c>
      <c r="Z37" s="145">
        <v>0</v>
      </c>
      <c r="AA37" s="145">
        <v>0</v>
      </c>
      <c r="AB37" s="7">
        <f>Embodied!G27</f>
        <v>8312.0325131810187</v>
      </c>
      <c r="AC37" s="145">
        <v>0</v>
      </c>
      <c r="AD37" s="145">
        <v>0</v>
      </c>
      <c r="AE37" s="145">
        <v>0</v>
      </c>
      <c r="AF37" s="145">
        <v>0</v>
      </c>
      <c r="AG37" s="145">
        <v>0</v>
      </c>
      <c r="AH37" s="145">
        <v>0</v>
      </c>
      <c r="AI37" s="145">
        <v>0</v>
      </c>
      <c r="AJ37" s="145">
        <v>0</v>
      </c>
      <c r="AK37" s="145">
        <v>0</v>
      </c>
      <c r="AL37" s="145">
        <v>0</v>
      </c>
      <c r="AM37" s="145">
        <v>0</v>
      </c>
      <c r="AN37" s="145">
        <v>0</v>
      </c>
      <c r="AO37" s="145">
        <v>0</v>
      </c>
      <c r="AP37" s="145">
        <v>0</v>
      </c>
      <c r="AQ37" s="145">
        <v>0</v>
      </c>
      <c r="AR37" s="145">
        <v>0</v>
      </c>
      <c r="AS37" s="145">
        <v>0</v>
      </c>
      <c r="AT37" s="145">
        <v>0</v>
      </c>
      <c r="AU37" s="145">
        <v>0</v>
      </c>
      <c r="AV37" s="145">
        <v>0</v>
      </c>
      <c r="AW37" s="145">
        <v>0</v>
      </c>
      <c r="AX37" s="145">
        <v>0</v>
      </c>
      <c r="AY37" s="145">
        <v>0</v>
      </c>
      <c r="AZ37" s="145">
        <v>0</v>
      </c>
      <c r="BA37" s="7">
        <f>Embodied!H27</f>
        <v>3282.4586994727588</v>
      </c>
      <c r="BB37" s="145">
        <v>0</v>
      </c>
      <c r="BC37" s="145">
        <v>0</v>
      </c>
      <c r="BD37" s="145">
        <v>0</v>
      </c>
      <c r="BE37" s="145">
        <v>0</v>
      </c>
      <c r="BF37" s="145">
        <v>0</v>
      </c>
      <c r="BG37" s="145">
        <v>0</v>
      </c>
      <c r="BH37" s="145">
        <v>0</v>
      </c>
      <c r="BI37" s="145">
        <v>0</v>
      </c>
      <c r="BJ37" s="145">
        <v>0</v>
      </c>
      <c r="BK37" s="7">
        <f>Embodied!I27</f>
        <v>16200.52196836555</v>
      </c>
      <c r="BL37" s="7">
        <f>SUM(C37:BK37)</f>
        <v>103284</v>
      </c>
      <c r="BM37" s="45">
        <f ca="1">BL37/$BL$45</f>
        <v>0.99244719187171804</v>
      </c>
    </row>
    <row r="39" spans="2:65">
      <c r="B39" s="1" t="s">
        <v>755</v>
      </c>
    </row>
    <row r="40" spans="2:65" s="41" customFormat="1">
      <c r="B40" s="41" t="s">
        <v>719</v>
      </c>
      <c r="C40" s="101">
        <f>INPUT!C8</f>
        <v>2026</v>
      </c>
      <c r="D40" s="101">
        <f t="shared" ref="D40:AI40" si="16">C40+1</f>
        <v>2027</v>
      </c>
      <c r="E40" s="101">
        <f t="shared" si="16"/>
        <v>2028</v>
      </c>
      <c r="F40" s="101">
        <f t="shared" si="16"/>
        <v>2029</v>
      </c>
      <c r="G40" s="101">
        <f t="shared" si="16"/>
        <v>2030</v>
      </c>
      <c r="H40" s="101">
        <f t="shared" si="16"/>
        <v>2031</v>
      </c>
      <c r="I40" s="101">
        <f t="shared" si="16"/>
        <v>2032</v>
      </c>
      <c r="J40" s="101">
        <f t="shared" si="16"/>
        <v>2033</v>
      </c>
      <c r="K40" s="101">
        <f t="shared" si="16"/>
        <v>2034</v>
      </c>
      <c r="L40" s="101">
        <f t="shared" si="16"/>
        <v>2035</v>
      </c>
      <c r="M40" s="101">
        <f t="shared" si="16"/>
        <v>2036</v>
      </c>
      <c r="N40" s="101">
        <f t="shared" si="16"/>
        <v>2037</v>
      </c>
      <c r="O40" s="101">
        <f t="shared" si="16"/>
        <v>2038</v>
      </c>
      <c r="P40" s="101">
        <f t="shared" si="16"/>
        <v>2039</v>
      </c>
      <c r="Q40" s="101">
        <f t="shared" si="16"/>
        <v>2040</v>
      </c>
      <c r="R40" s="101">
        <f t="shared" si="16"/>
        <v>2041</v>
      </c>
      <c r="S40" s="101">
        <f t="shared" si="16"/>
        <v>2042</v>
      </c>
      <c r="T40" s="101">
        <f t="shared" si="16"/>
        <v>2043</v>
      </c>
      <c r="U40" s="101">
        <f t="shared" si="16"/>
        <v>2044</v>
      </c>
      <c r="V40" s="101">
        <f t="shared" si="16"/>
        <v>2045</v>
      </c>
      <c r="W40" s="101">
        <f t="shared" si="16"/>
        <v>2046</v>
      </c>
      <c r="X40" s="101">
        <f t="shared" si="16"/>
        <v>2047</v>
      </c>
      <c r="Y40" s="101">
        <f t="shared" si="16"/>
        <v>2048</v>
      </c>
      <c r="Z40" s="101">
        <f t="shared" si="16"/>
        <v>2049</v>
      </c>
      <c r="AA40" s="101">
        <f t="shared" si="16"/>
        <v>2050</v>
      </c>
      <c r="AB40" s="101">
        <f t="shared" si="16"/>
        <v>2051</v>
      </c>
      <c r="AC40" s="101">
        <f t="shared" si="16"/>
        <v>2052</v>
      </c>
      <c r="AD40" s="101">
        <f t="shared" si="16"/>
        <v>2053</v>
      </c>
      <c r="AE40" s="101">
        <f t="shared" si="16"/>
        <v>2054</v>
      </c>
      <c r="AF40" s="101">
        <f t="shared" si="16"/>
        <v>2055</v>
      </c>
      <c r="AG40" s="101">
        <f t="shared" si="16"/>
        <v>2056</v>
      </c>
      <c r="AH40" s="101">
        <f t="shared" si="16"/>
        <v>2057</v>
      </c>
      <c r="AI40" s="101">
        <f t="shared" si="16"/>
        <v>2058</v>
      </c>
      <c r="AJ40" s="101">
        <f t="shared" ref="AJ40:BK40" si="17">AI40+1</f>
        <v>2059</v>
      </c>
      <c r="AK40" s="101">
        <f t="shared" si="17"/>
        <v>2060</v>
      </c>
      <c r="AL40" s="101">
        <f t="shared" si="17"/>
        <v>2061</v>
      </c>
      <c r="AM40" s="101">
        <f t="shared" si="17"/>
        <v>2062</v>
      </c>
      <c r="AN40" s="101">
        <f t="shared" si="17"/>
        <v>2063</v>
      </c>
      <c r="AO40" s="101">
        <f t="shared" si="17"/>
        <v>2064</v>
      </c>
      <c r="AP40" s="101">
        <f t="shared" si="17"/>
        <v>2065</v>
      </c>
      <c r="AQ40" s="101">
        <f t="shared" si="17"/>
        <v>2066</v>
      </c>
      <c r="AR40" s="101">
        <f t="shared" si="17"/>
        <v>2067</v>
      </c>
      <c r="AS40" s="101">
        <f t="shared" si="17"/>
        <v>2068</v>
      </c>
      <c r="AT40" s="101">
        <f t="shared" si="17"/>
        <v>2069</v>
      </c>
      <c r="AU40" s="101">
        <f t="shared" si="17"/>
        <v>2070</v>
      </c>
      <c r="AV40" s="101">
        <f t="shared" si="17"/>
        <v>2071</v>
      </c>
      <c r="AW40" s="101">
        <f t="shared" si="17"/>
        <v>2072</v>
      </c>
      <c r="AX40" s="101">
        <f t="shared" si="17"/>
        <v>2073</v>
      </c>
      <c r="AY40" s="101">
        <f t="shared" si="17"/>
        <v>2074</v>
      </c>
      <c r="AZ40" s="101">
        <f t="shared" si="17"/>
        <v>2075</v>
      </c>
      <c r="BA40" s="101">
        <f t="shared" si="17"/>
        <v>2076</v>
      </c>
      <c r="BB40" s="101">
        <f t="shared" si="17"/>
        <v>2077</v>
      </c>
      <c r="BC40" s="101">
        <f t="shared" si="17"/>
        <v>2078</v>
      </c>
      <c r="BD40" s="101">
        <f t="shared" si="17"/>
        <v>2079</v>
      </c>
      <c r="BE40" s="101">
        <f t="shared" si="17"/>
        <v>2080</v>
      </c>
      <c r="BF40" s="101">
        <f t="shared" si="17"/>
        <v>2081</v>
      </c>
      <c r="BG40" s="101">
        <f t="shared" si="17"/>
        <v>2082</v>
      </c>
      <c r="BH40" s="101">
        <f t="shared" si="17"/>
        <v>2083</v>
      </c>
      <c r="BI40" s="101">
        <f t="shared" si="17"/>
        <v>2084</v>
      </c>
      <c r="BJ40" s="101">
        <f t="shared" si="17"/>
        <v>2085</v>
      </c>
      <c r="BK40" s="101">
        <f t="shared" si="17"/>
        <v>2086</v>
      </c>
      <c r="BL40" s="101" t="s">
        <v>501</v>
      </c>
      <c r="BM40" s="41" t="s">
        <v>752</v>
      </c>
    </row>
    <row r="41" spans="2:65">
      <c r="B41" t="s">
        <v>17</v>
      </c>
      <c r="C41" s="7">
        <f t="shared" ref="C41:AH41" si="18">C33+C25</f>
        <v>19907</v>
      </c>
      <c r="D41" s="7">
        <f t="shared" ca="1" si="18"/>
        <v>34.283834168119974</v>
      </c>
      <c r="E41" s="7">
        <f t="shared" ca="1" si="18"/>
        <v>29.613030588316594</v>
      </c>
      <c r="F41" s="7">
        <f t="shared" ca="1" si="18"/>
        <v>26.620989489205154</v>
      </c>
      <c r="G41" s="7">
        <f t="shared" ca="1" si="18"/>
        <v>21.130786005362697</v>
      </c>
      <c r="H41" s="7">
        <f t="shared" ca="1" si="18"/>
        <v>17.00653868353718</v>
      </c>
      <c r="I41" s="7">
        <f t="shared" ca="1" si="18"/>
        <v>12.167619104250528</v>
      </c>
      <c r="J41" s="7">
        <f t="shared" ca="1" si="18"/>
        <v>9.1260882193880182</v>
      </c>
      <c r="K41" s="7">
        <f t="shared" ca="1" si="18"/>
        <v>6.7417692235082995</v>
      </c>
      <c r="L41" s="7">
        <f t="shared" ca="1" si="18"/>
        <v>4.6955224116405931</v>
      </c>
      <c r="M41" s="7">
        <f t="shared" ca="1" si="18"/>
        <v>4.359163313198259</v>
      </c>
      <c r="N41" s="7">
        <f t="shared" ca="1" si="18"/>
        <v>3.9374981813697194</v>
      </c>
      <c r="O41" s="7">
        <f t="shared" ca="1" si="18"/>
        <v>3.7420221431010599</v>
      </c>
      <c r="P41" s="7">
        <f t="shared" ca="1" si="18"/>
        <v>3.5761488135677246</v>
      </c>
      <c r="Q41" s="7">
        <f t="shared" ca="1" si="18"/>
        <v>3.2537932784604795</v>
      </c>
      <c r="R41" s="7">
        <f t="shared" ca="1" si="18"/>
        <v>636.00264777409052</v>
      </c>
      <c r="S41" s="7">
        <f t="shared" ca="1" si="18"/>
        <v>1.9207137001843888</v>
      </c>
      <c r="T41" s="7">
        <f t="shared" ca="1" si="18"/>
        <v>1.8596189338327096</v>
      </c>
      <c r="U41" s="7">
        <f t="shared" ca="1" si="18"/>
        <v>1.7778049682033488</v>
      </c>
      <c r="V41" s="7">
        <f t="shared" ca="1" si="18"/>
        <v>1.1633656826981924</v>
      </c>
      <c r="W41" s="7">
        <f t="shared" ca="1" si="18"/>
        <v>1.0429597295072097</v>
      </c>
      <c r="X41" s="7">
        <f t="shared" ca="1" si="18"/>
        <v>0.8091939636457316</v>
      </c>
      <c r="Y41" s="7">
        <f t="shared" ca="1" si="18"/>
        <v>0.79953381163482073</v>
      </c>
      <c r="Z41" s="7">
        <f t="shared" ca="1" si="18"/>
        <v>0.76455775127708425</v>
      </c>
      <c r="AA41" s="7">
        <f t="shared" ca="1" si="18"/>
        <v>0.75224846134403178</v>
      </c>
      <c r="AB41" s="7">
        <f t="shared" ca="1" si="18"/>
        <v>2262.4903855439452</v>
      </c>
      <c r="AC41" s="7">
        <f t="shared" ca="1" si="18"/>
        <v>0.75224846134403178</v>
      </c>
      <c r="AD41" s="7">
        <f t="shared" ca="1" si="18"/>
        <v>0.75224846134403178</v>
      </c>
      <c r="AE41" s="7">
        <f t="shared" ca="1" si="18"/>
        <v>0.75224846134403178</v>
      </c>
      <c r="AF41" s="7">
        <f t="shared" ca="1" si="18"/>
        <v>0.75224846134403178</v>
      </c>
      <c r="AG41" s="7">
        <f t="shared" ca="1" si="18"/>
        <v>0.75224846134403178</v>
      </c>
      <c r="AH41" s="7">
        <f t="shared" ca="1" si="18"/>
        <v>0.75224846134403178</v>
      </c>
      <c r="AI41" s="7">
        <f t="shared" ref="AI41:BK41" ca="1" si="19">AI33+AI25</f>
        <v>0.75224846134403178</v>
      </c>
      <c r="AJ41" s="7">
        <f t="shared" ca="1" si="19"/>
        <v>0.75224846134403178</v>
      </c>
      <c r="AK41" s="7">
        <f t="shared" ca="1" si="19"/>
        <v>0.75224846134403178</v>
      </c>
      <c r="AL41" s="7">
        <f t="shared" ca="1" si="19"/>
        <v>0.75224846134403178</v>
      </c>
      <c r="AM41" s="7">
        <f t="shared" ca="1" si="19"/>
        <v>0.75224846134403178</v>
      </c>
      <c r="AN41" s="7">
        <f t="shared" ca="1" si="19"/>
        <v>0.75224846134403178</v>
      </c>
      <c r="AO41" s="7">
        <f t="shared" ca="1" si="19"/>
        <v>0.75224846134403178</v>
      </c>
      <c r="AP41" s="7">
        <f t="shared" ca="1" si="19"/>
        <v>0.75224846134403178</v>
      </c>
      <c r="AQ41" s="7">
        <f t="shared" ca="1" si="19"/>
        <v>0.75224846134403178</v>
      </c>
      <c r="AR41" s="7">
        <f t="shared" ca="1" si="19"/>
        <v>0.75224846134403178</v>
      </c>
      <c r="AS41" s="7">
        <f t="shared" ca="1" si="19"/>
        <v>0.75224846134403178</v>
      </c>
      <c r="AT41" s="7">
        <f t="shared" ca="1" si="19"/>
        <v>0.75224846134403178</v>
      </c>
      <c r="AU41" s="7">
        <f t="shared" ca="1" si="19"/>
        <v>0.75224846134403178</v>
      </c>
      <c r="AV41" s="7">
        <f t="shared" ca="1" si="19"/>
        <v>0.75224846134403178</v>
      </c>
      <c r="AW41" s="7">
        <f t="shared" ca="1" si="19"/>
        <v>0.75224846134403178</v>
      </c>
      <c r="AX41" s="7">
        <f t="shared" ca="1" si="19"/>
        <v>0.75224846134403178</v>
      </c>
      <c r="AY41" s="7">
        <f t="shared" ca="1" si="19"/>
        <v>0.75224846134403178</v>
      </c>
      <c r="AZ41" s="7">
        <f t="shared" ca="1" si="19"/>
        <v>0.75224846134403178</v>
      </c>
      <c r="BA41" s="7">
        <f t="shared" ca="1" si="19"/>
        <v>893.92272297803993</v>
      </c>
      <c r="BB41" s="7">
        <f t="shared" ca="1" si="19"/>
        <v>0.75224846134403178</v>
      </c>
      <c r="BC41" s="7">
        <f t="shared" ca="1" si="19"/>
        <v>0.75224846134403178</v>
      </c>
      <c r="BD41" s="7">
        <f t="shared" ca="1" si="19"/>
        <v>0.75224846134403178</v>
      </c>
      <c r="BE41" s="7">
        <f t="shared" ca="1" si="19"/>
        <v>0.75224846134403178</v>
      </c>
      <c r="BF41" s="7">
        <f t="shared" ca="1" si="19"/>
        <v>0.75224846134403178</v>
      </c>
      <c r="BG41" s="7">
        <f t="shared" ca="1" si="19"/>
        <v>0.75224846134403178</v>
      </c>
      <c r="BH41" s="7">
        <f t="shared" ca="1" si="19"/>
        <v>0.75224846134403178</v>
      </c>
      <c r="BI41" s="7">
        <f t="shared" ca="1" si="19"/>
        <v>0.75224846134403178</v>
      </c>
      <c r="BJ41" s="7">
        <f t="shared" ca="1" si="19"/>
        <v>0.75224846134403178</v>
      </c>
      <c r="BK41" s="7">
        <f t="shared" ca="1" si="19"/>
        <v>4408.9807194631003</v>
      </c>
      <c r="BL41" s="7">
        <f ca="1">SUM(C41:BK41)</f>
        <v>28324.365475608873</v>
      </c>
      <c r="BM41" s="45">
        <f ca="1">BL41/$BL$45</f>
        <v>0.2721664244008391</v>
      </c>
    </row>
    <row r="42" spans="2:65">
      <c r="B42" t="s">
        <v>495</v>
      </c>
      <c r="C42" s="7">
        <f t="shared" ref="C42:AH42" si="20">C34+C26</f>
        <v>43044</v>
      </c>
      <c r="D42" s="7">
        <f t="shared" ca="1" si="20"/>
        <v>74.130374136361894</v>
      </c>
      <c r="E42" s="7">
        <f t="shared" ca="1" si="20"/>
        <v>64.030908155096171</v>
      </c>
      <c r="F42" s="7">
        <f t="shared" ca="1" si="20"/>
        <v>57.561353874182288</v>
      </c>
      <c r="G42" s="7">
        <f t="shared" ca="1" si="20"/>
        <v>45.690136776753505</v>
      </c>
      <c r="H42" s="7">
        <f t="shared" ca="1" si="20"/>
        <v>36.772464514702087</v>
      </c>
      <c r="I42" s="7">
        <f t="shared" ca="1" si="20"/>
        <v>26.309488959831203</v>
      </c>
      <c r="J42" s="7">
        <f t="shared" ca="1" si="20"/>
        <v>19.732925167797152</v>
      </c>
      <c r="K42" s="7">
        <f t="shared" ca="1" si="20"/>
        <v>14.577420729225461</v>
      </c>
      <c r="L42" s="7">
        <f t="shared" ca="1" si="20"/>
        <v>10.152914386228849</v>
      </c>
      <c r="M42" s="7">
        <f t="shared" ca="1" si="20"/>
        <v>9.425620417607167</v>
      </c>
      <c r="N42" s="7">
        <f t="shared" ca="1" si="20"/>
        <v>8.5138730958395641</v>
      </c>
      <c r="O42" s="7">
        <f t="shared" ca="1" si="20"/>
        <v>8.0912041557061354</v>
      </c>
      <c r="P42" s="7">
        <f t="shared" ca="1" si="20"/>
        <v>7.7325438052548927</v>
      </c>
      <c r="Q42" s="7">
        <f t="shared" ca="1" si="20"/>
        <v>7.035529104237348</v>
      </c>
      <c r="R42" s="7">
        <f t="shared" ca="1" si="20"/>
        <v>1375.1995765704505</v>
      </c>
      <c r="S42" s="7">
        <f t="shared" ca="1" si="20"/>
        <v>4.1530718094507879</v>
      </c>
      <c r="T42" s="7">
        <f t="shared" ca="1" si="20"/>
        <v>4.0209693769977974</v>
      </c>
      <c r="U42" s="7">
        <f t="shared" ca="1" si="20"/>
        <v>3.8440667630152685</v>
      </c>
      <c r="V42" s="7">
        <f t="shared" ca="1" si="20"/>
        <v>2.5154926631868686</v>
      </c>
      <c r="W42" s="7">
        <f t="shared" ca="1" si="20"/>
        <v>2.255144351077929</v>
      </c>
      <c r="X42" s="7">
        <f t="shared" ca="1" si="20"/>
        <v>1.7496832757907705</v>
      </c>
      <c r="Y42" s="7">
        <f t="shared" ca="1" si="20"/>
        <v>1.7287955687953598</v>
      </c>
      <c r="Z42" s="7">
        <f t="shared" ca="1" si="20"/>
        <v>1.6531684254770089</v>
      </c>
      <c r="AA42" s="7">
        <f t="shared" ca="1" si="20"/>
        <v>1.6265526081324411</v>
      </c>
      <c r="AB42" s="7">
        <f t="shared" ca="1" si="20"/>
        <v>4892.079979673159</v>
      </c>
      <c r="AC42" s="7">
        <f t="shared" ca="1" si="20"/>
        <v>1.6265526081324411</v>
      </c>
      <c r="AD42" s="7">
        <f t="shared" ca="1" si="20"/>
        <v>1.6265526081324411</v>
      </c>
      <c r="AE42" s="7">
        <f t="shared" ca="1" si="20"/>
        <v>1.6265526081324411</v>
      </c>
      <c r="AF42" s="7">
        <f t="shared" ca="1" si="20"/>
        <v>1.6265526081324411</v>
      </c>
      <c r="AG42" s="7">
        <f t="shared" ca="1" si="20"/>
        <v>1.6265526081324411</v>
      </c>
      <c r="AH42" s="7">
        <f t="shared" ca="1" si="20"/>
        <v>1.6265526081324411</v>
      </c>
      <c r="AI42" s="7">
        <f t="shared" ref="AI42:BK42" ca="1" si="21">AI34+AI26</f>
        <v>1.6265526081324411</v>
      </c>
      <c r="AJ42" s="7">
        <f t="shared" ca="1" si="21"/>
        <v>1.6265526081324411</v>
      </c>
      <c r="AK42" s="7">
        <f t="shared" ca="1" si="21"/>
        <v>1.6265526081324411</v>
      </c>
      <c r="AL42" s="7">
        <f t="shared" ca="1" si="21"/>
        <v>1.6265526081324411</v>
      </c>
      <c r="AM42" s="7">
        <f t="shared" ca="1" si="21"/>
        <v>1.6265526081324411</v>
      </c>
      <c r="AN42" s="7">
        <f t="shared" ca="1" si="21"/>
        <v>1.6265526081324411</v>
      </c>
      <c r="AO42" s="7">
        <f t="shared" ca="1" si="21"/>
        <v>1.6265526081324411</v>
      </c>
      <c r="AP42" s="7">
        <f t="shared" ca="1" si="21"/>
        <v>1.6265526081324411</v>
      </c>
      <c r="AQ42" s="7">
        <f t="shared" ca="1" si="21"/>
        <v>1.6265526081324411</v>
      </c>
      <c r="AR42" s="7">
        <f t="shared" ca="1" si="21"/>
        <v>1.6265526081324411</v>
      </c>
      <c r="AS42" s="7">
        <f t="shared" ca="1" si="21"/>
        <v>1.6265526081324411</v>
      </c>
      <c r="AT42" s="7">
        <f t="shared" ca="1" si="21"/>
        <v>1.6265526081324411</v>
      </c>
      <c r="AU42" s="7">
        <f t="shared" ca="1" si="21"/>
        <v>1.6265526081324411</v>
      </c>
      <c r="AV42" s="7">
        <f t="shared" ca="1" si="21"/>
        <v>1.6265526081324411</v>
      </c>
      <c r="AW42" s="7">
        <f t="shared" ca="1" si="21"/>
        <v>1.6265526081324411</v>
      </c>
      <c r="AX42" s="7">
        <f t="shared" ca="1" si="21"/>
        <v>1.6265526081324411</v>
      </c>
      <c r="AY42" s="7">
        <f t="shared" ca="1" si="21"/>
        <v>1.6265526081324411</v>
      </c>
      <c r="AZ42" s="7">
        <f t="shared" ca="1" si="21"/>
        <v>1.6265526081324411</v>
      </c>
      <c r="BA42" s="7">
        <f t="shared" ca="1" si="21"/>
        <v>1932.8884155255312</v>
      </c>
      <c r="BB42" s="7">
        <f t="shared" ca="1" si="21"/>
        <v>1.6265526081324411</v>
      </c>
      <c r="BC42" s="7">
        <f t="shared" ca="1" si="21"/>
        <v>1.6265526081324411</v>
      </c>
      <c r="BD42" s="7">
        <f t="shared" ca="1" si="21"/>
        <v>1.6265526081324411</v>
      </c>
      <c r="BE42" s="7">
        <f t="shared" ca="1" si="21"/>
        <v>1.6265526081324411</v>
      </c>
      <c r="BF42" s="7">
        <f t="shared" ca="1" si="21"/>
        <v>1.6265526081324411</v>
      </c>
      <c r="BG42" s="7">
        <f t="shared" ca="1" si="21"/>
        <v>1.6265526081324411</v>
      </c>
      <c r="BH42" s="7">
        <f t="shared" ca="1" si="21"/>
        <v>1.6265526081324411</v>
      </c>
      <c r="BI42" s="7">
        <f t="shared" ca="1" si="21"/>
        <v>1.6265526081324411</v>
      </c>
      <c r="BJ42" s="7">
        <f t="shared" ca="1" si="21"/>
        <v>1.6265526081324411</v>
      </c>
      <c r="BK42" s="7">
        <f t="shared" ca="1" si="21"/>
        <v>9533.3383276520672</v>
      </c>
      <c r="BL42" s="7">
        <f ca="1">SUM(C42:BK42)</f>
        <v>61244.486237610356</v>
      </c>
      <c r="BM42" s="45">
        <f ca="1">BL42/$BL$45</f>
        <v>0.58849307137739126</v>
      </c>
    </row>
    <row r="43" spans="2:65">
      <c r="B43" t="s">
        <v>497</v>
      </c>
      <c r="C43" s="7">
        <f t="shared" ref="C43:AH43" si="22">C35+C27</f>
        <v>4250</v>
      </c>
      <c r="D43" s="7">
        <f t="shared" ca="1" si="22"/>
        <v>4.9274729707899176</v>
      </c>
      <c r="E43" s="7">
        <f t="shared" ca="1" si="22"/>
        <v>4.2561577882905377</v>
      </c>
      <c r="F43" s="7">
        <f t="shared" ca="1" si="22"/>
        <v>3.8261241587067829</v>
      </c>
      <c r="G43" s="7">
        <f t="shared" ca="1" si="22"/>
        <v>3.0370400341567239</v>
      </c>
      <c r="H43" s="7">
        <f t="shared" ca="1" si="22"/>
        <v>2.4442791106411978</v>
      </c>
      <c r="I43" s="7">
        <f t="shared" ca="1" si="22"/>
        <v>1.7488013143761305</v>
      </c>
      <c r="J43" s="7">
        <f t="shared" ca="1" si="22"/>
        <v>1.3116547236100662</v>
      </c>
      <c r="K43" s="7">
        <f t="shared" ca="1" si="22"/>
        <v>0.96896646568869327</v>
      </c>
      <c r="L43" s="7">
        <f t="shared" ca="1" si="22"/>
        <v>0.67486791744582975</v>
      </c>
      <c r="M43" s="7">
        <f t="shared" ca="1" si="22"/>
        <v>0.62652442243513884</v>
      </c>
      <c r="N43" s="7">
        <f t="shared" ca="1" si="22"/>
        <v>0.56592024585381118</v>
      </c>
      <c r="O43" s="7">
        <f t="shared" ca="1" si="22"/>
        <v>0.53782528744622493</v>
      </c>
      <c r="P43" s="7">
        <f t="shared" ca="1" si="22"/>
        <v>0.51398500330990549</v>
      </c>
      <c r="Q43" s="7">
        <f t="shared" ca="1" si="22"/>
        <v>0.4676541822460672</v>
      </c>
      <c r="R43" s="7">
        <f t="shared" ca="1" si="22"/>
        <v>135.63266636238498</v>
      </c>
      <c r="S43" s="7">
        <f t="shared" ca="1" si="22"/>
        <v>0.27605619592820058</v>
      </c>
      <c r="T43" s="7">
        <f t="shared" ca="1" si="22"/>
        <v>0.26727529912481562</v>
      </c>
      <c r="U43" s="7">
        <f t="shared" ca="1" si="22"/>
        <v>0.25551651793672203</v>
      </c>
      <c r="V43" s="7">
        <f t="shared" ca="1" si="22"/>
        <v>0.16720571358878014</v>
      </c>
      <c r="W43" s="7">
        <f t="shared" ca="1" si="22"/>
        <v>0.14990026645117668</v>
      </c>
      <c r="X43" s="7">
        <f t="shared" ca="1" si="22"/>
        <v>0.11630208466293467</v>
      </c>
      <c r="Y43" s="7">
        <f t="shared" ca="1" si="22"/>
        <v>0.1149136711706145</v>
      </c>
      <c r="Z43" s="7">
        <f t="shared" ca="1" si="22"/>
        <v>0.10988670740710046</v>
      </c>
      <c r="AA43" s="7">
        <f t="shared" ca="1" si="22"/>
        <v>0.10811754433341096</v>
      </c>
      <c r="AB43" s="7">
        <f t="shared" ca="1" si="22"/>
        <v>482.97279241252323</v>
      </c>
      <c r="AC43" s="7">
        <f t="shared" ca="1" si="22"/>
        <v>0.10811754433341096</v>
      </c>
      <c r="AD43" s="7">
        <f t="shared" ca="1" si="22"/>
        <v>0.10811754433341096</v>
      </c>
      <c r="AE43" s="7">
        <f t="shared" ca="1" si="22"/>
        <v>0.10811754433341096</v>
      </c>
      <c r="AF43" s="7">
        <f t="shared" ca="1" si="22"/>
        <v>0.10811754433341096</v>
      </c>
      <c r="AG43" s="7">
        <f t="shared" ca="1" si="22"/>
        <v>0.10811754433341096</v>
      </c>
      <c r="AH43" s="7">
        <f t="shared" ca="1" si="22"/>
        <v>0.10811754433341096</v>
      </c>
      <c r="AI43" s="7">
        <f t="shared" ref="AI43:BK43" ca="1" si="23">AI35+AI27</f>
        <v>0.10811754433341096</v>
      </c>
      <c r="AJ43" s="7">
        <f t="shared" ca="1" si="23"/>
        <v>0.10811754433341096</v>
      </c>
      <c r="AK43" s="7">
        <f t="shared" ca="1" si="23"/>
        <v>0.10811754433341096</v>
      </c>
      <c r="AL43" s="7">
        <f t="shared" ca="1" si="23"/>
        <v>0.10811754433341096</v>
      </c>
      <c r="AM43" s="7">
        <f t="shared" ca="1" si="23"/>
        <v>0.10811754433341096</v>
      </c>
      <c r="AN43" s="7">
        <f t="shared" ca="1" si="23"/>
        <v>0.10811754433341096</v>
      </c>
      <c r="AO43" s="7">
        <f t="shared" ca="1" si="23"/>
        <v>0.10811754433341096</v>
      </c>
      <c r="AP43" s="7">
        <f t="shared" ca="1" si="23"/>
        <v>0.10811754433341096</v>
      </c>
      <c r="AQ43" s="7">
        <f t="shared" ca="1" si="23"/>
        <v>0.10811754433341096</v>
      </c>
      <c r="AR43" s="7">
        <f t="shared" ca="1" si="23"/>
        <v>0.10811754433341096</v>
      </c>
      <c r="AS43" s="7">
        <f t="shared" ca="1" si="23"/>
        <v>0.10811754433341096</v>
      </c>
      <c r="AT43" s="7">
        <f t="shared" ca="1" si="23"/>
        <v>0.10811754433341096</v>
      </c>
      <c r="AU43" s="7">
        <f t="shared" ca="1" si="23"/>
        <v>0.10811754433341096</v>
      </c>
      <c r="AV43" s="7">
        <f t="shared" ca="1" si="23"/>
        <v>0.10811754433341096</v>
      </c>
      <c r="AW43" s="7">
        <f t="shared" ca="1" si="23"/>
        <v>0.10811754433341096</v>
      </c>
      <c r="AX43" s="7">
        <f t="shared" ca="1" si="23"/>
        <v>0.10811754433341096</v>
      </c>
      <c r="AY43" s="7">
        <f t="shared" ca="1" si="23"/>
        <v>0.10811754433341096</v>
      </c>
      <c r="AZ43" s="7">
        <f t="shared" ca="1" si="23"/>
        <v>0.10811754433341096</v>
      </c>
      <c r="BA43" s="7">
        <f t="shared" ca="1" si="23"/>
        <v>190.7935305496058</v>
      </c>
      <c r="BB43" s="7">
        <f t="shared" ca="1" si="23"/>
        <v>0.10811754433341096</v>
      </c>
      <c r="BC43" s="7">
        <f t="shared" ca="1" si="23"/>
        <v>0.10811754433341096</v>
      </c>
      <c r="BD43" s="7">
        <f t="shared" ca="1" si="23"/>
        <v>0.10811754433341096</v>
      </c>
      <c r="BE43" s="7">
        <f t="shared" ca="1" si="23"/>
        <v>0.10811754433341096</v>
      </c>
      <c r="BF43" s="7">
        <f t="shared" ca="1" si="23"/>
        <v>0.10811754433341096</v>
      </c>
      <c r="BG43" s="7">
        <f t="shared" ca="1" si="23"/>
        <v>0.10811754433341096</v>
      </c>
      <c r="BH43" s="7">
        <f t="shared" ca="1" si="23"/>
        <v>0.10811754433341096</v>
      </c>
      <c r="BI43" s="7">
        <f t="shared" ca="1" si="23"/>
        <v>0.10811754433341096</v>
      </c>
      <c r="BJ43" s="7">
        <f t="shared" ca="1" si="23"/>
        <v>0.10811754433341096</v>
      </c>
      <c r="BK43" s="7">
        <f t="shared" ca="1" si="23"/>
        <v>941.23289786067767</v>
      </c>
      <c r="BL43" s="7">
        <f ca="1">SUM(C43:BK43)</f>
        <v>6031.6722137737916</v>
      </c>
      <c r="BM43" s="45">
        <f ca="1">BL43/$BL$45</f>
        <v>5.7957826486682046E-2</v>
      </c>
    </row>
    <row r="44" spans="2:65">
      <c r="B44" t="s">
        <v>496</v>
      </c>
      <c r="C44" s="7">
        <f t="shared" ref="C44:AH44" si="24">C36+C28</f>
        <v>5958.4999999999991</v>
      </c>
      <c r="D44" s="7">
        <f t="shared" ca="1" si="24"/>
        <v>8.9452155522227734</v>
      </c>
      <c r="E44" s="7">
        <f t="shared" ca="1" si="24"/>
        <v>7.7265261658913342</v>
      </c>
      <c r="F44" s="7">
        <f t="shared" ca="1" si="24"/>
        <v>6.9458534896260513</v>
      </c>
      <c r="G44" s="7">
        <f t="shared" ca="1" si="24"/>
        <v>5.5133692071591023</v>
      </c>
      <c r="H44" s="7">
        <f t="shared" ca="1" si="24"/>
        <v>4.437285327407043</v>
      </c>
      <c r="I44" s="7">
        <f t="shared" ca="1" si="24"/>
        <v>3.1747317149863972</v>
      </c>
      <c r="J44" s="7">
        <f t="shared" ca="1" si="24"/>
        <v>2.3811463405962265</v>
      </c>
      <c r="K44" s="7">
        <f t="shared" ca="1" si="24"/>
        <v>1.7590383447747944</v>
      </c>
      <c r="L44" s="7">
        <f t="shared" ca="1" si="24"/>
        <v>1.2251389356408531</v>
      </c>
      <c r="M44" s="7">
        <f t="shared" ca="1" si="24"/>
        <v>1.1373773211212077</v>
      </c>
      <c r="N44" s="7">
        <f t="shared" ca="1" si="24"/>
        <v>1.0273579610762877</v>
      </c>
      <c r="O44" s="7">
        <f t="shared" ca="1" si="24"/>
        <v>0.97635505139491729</v>
      </c>
      <c r="P44" s="7">
        <f t="shared" ca="1" si="24"/>
        <v>0.93307597473842407</v>
      </c>
      <c r="Q44" s="7">
        <f t="shared" ca="1" si="24"/>
        <v>0.8489681199446395</v>
      </c>
      <c r="R44" s="7">
        <f t="shared" ca="1" si="24"/>
        <v>190.28412560443999</v>
      </c>
      <c r="S44" s="7">
        <f t="shared" ca="1" si="24"/>
        <v>0.50114575802706707</v>
      </c>
      <c r="T44" s="7">
        <f t="shared" ca="1" si="24"/>
        <v>0.48520512981586644</v>
      </c>
      <c r="U44" s="7">
        <f t="shared" ca="1" si="24"/>
        <v>0.46385852213634066</v>
      </c>
      <c r="V44" s="7">
        <f t="shared" ca="1" si="24"/>
        <v>0.30354121848690535</v>
      </c>
      <c r="W44" s="7">
        <f t="shared" ca="1" si="24"/>
        <v>0.27212532726007971</v>
      </c>
      <c r="X44" s="7">
        <f t="shared" ca="1" si="24"/>
        <v>0.2111319986228227</v>
      </c>
      <c r="Y44" s="7">
        <f t="shared" ca="1" si="24"/>
        <v>0.20861150626537253</v>
      </c>
      <c r="Z44" s="7">
        <f t="shared" ca="1" si="24"/>
        <v>0.19948567752832774</v>
      </c>
      <c r="AA44" s="7">
        <f t="shared" ca="1" si="24"/>
        <v>0.19627398156672643</v>
      </c>
      <c r="AB44" s="7">
        <f t="shared" ca="1" si="24"/>
        <v>677.17254814676869</v>
      </c>
      <c r="AC44" s="7">
        <f t="shared" ca="1" si="24"/>
        <v>0.19627398156672643</v>
      </c>
      <c r="AD44" s="7">
        <f t="shared" ca="1" si="24"/>
        <v>0.19627398156672643</v>
      </c>
      <c r="AE44" s="7">
        <f t="shared" ca="1" si="24"/>
        <v>0.19627398156672643</v>
      </c>
      <c r="AF44" s="7">
        <f t="shared" ca="1" si="24"/>
        <v>0.19627398156672643</v>
      </c>
      <c r="AG44" s="7">
        <f t="shared" ca="1" si="24"/>
        <v>0.19627398156672643</v>
      </c>
      <c r="AH44" s="7">
        <f t="shared" ca="1" si="24"/>
        <v>0.19627398156672643</v>
      </c>
      <c r="AI44" s="7">
        <f t="shared" ref="AI44:BK44" ca="1" si="25">AI36+AI28</f>
        <v>0.19627398156672643</v>
      </c>
      <c r="AJ44" s="7">
        <f t="shared" ca="1" si="25"/>
        <v>0.19627398156672643</v>
      </c>
      <c r="AK44" s="7">
        <f t="shared" ca="1" si="25"/>
        <v>0.19627398156672643</v>
      </c>
      <c r="AL44" s="7">
        <f t="shared" ca="1" si="25"/>
        <v>0.19627398156672643</v>
      </c>
      <c r="AM44" s="7">
        <f t="shared" ca="1" si="25"/>
        <v>0.19627398156672643</v>
      </c>
      <c r="AN44" s="7">
        <f t="shared" ca="1" si="25"/>
        <v>0.19627398156672643</v>
      </c>
      <c r="AO44" s="7">
        <f t="shared" ca="1" si="25"/>
        <v>0.19627398156672643</v>
      </c>
      <c r="AP44" s="7">
        <f t="shared" ca="1" si="25"/>
        <v>0.19627398156672643</v>
      </c>
      <c r="AQ44" s="7">
        <f t="shared" ca="1" si="25"/>
        <v>0.19627398156672643</v>
      </c>
      <c r="AR44" s="7">
        <f t="shared" ca="1" si="25"/>
        <v>0.19627398156672643</v>
      </c>
      <c r="AS44" s="7">
        <f t="shared" ca="1" si="25"/>
        <v>0.19627398156672643</v>
      </c>
      <c r="AT44" s="7">
        <f t="shared" ca="1" si="25"/>
        <v>0.19627398156672643</v>
      </c>
      <c r="AU44" s="7">
        <f t="shared" ca="1" si="25"/>
        <v>0.19627398156672643</v>
      </c>
      <c r="AV44" s="7">
        <f t="shared" ca="1" si="25"/>
        <v>0.19627398156672643</v>
      </c>
      <c r="AW44" s="7">
        <f t="shared" ca="1" si="25"/>
        <v>0.19627398156672643</v>
      </c>
      <c r="AX44" s="7">
        <f t="shared" ca="1" si="25"/>
        <v>0.19627398156672643</v>
      </c>
      <c r="AY44" s="7">
        <f t="shared" ca="1" si="25"/>
        <v>0.19627398156672643</v>
      </c>
      <c r="AZ44" s="7">
        <f t="shared" ca="1" si="25"/>
        <v>0.19627398156672643</v>
      </c>
      <c r="BA44" s="7">
        <f t="shared" ca="1" si="25"/>
        <v>267.53722301495856</v>
      </c>
      <c r="BB44" s="7">
        <f t="shared" ca="1" si="25"/>
        <v>0.19627398156672643</v>
      </c>
      <c r="BC44" s="7">
        <f t="shared" ca="1" si="25"/>
        <v>0.19627398156672643</v>
      </c>
      <c r="BD44" s="7">
        <f t="shared" ca="1" si="25"/>
        <v>0.19627398156672643</v>
      </c>
      <c r="BE44" s="7">
        <f t="shared" ca="1" si="25"/>
        <v>0.19627398156672643</v>
      </c>
      <c r="BF44" s="7">
        <f t="shared" ca="1" si="25"/>
        <v>0.19627398156672643</v>
      </c>
      <c r="BG44" s="7">
        <f t="shared" ca="1" si="25"/>
        <v>0.19627398156672643</v>
      </c>
      <c r="BH44" s="7">
        <f t="shared" ca="1" si="25"/>
        <v>0.19627398156672643</v>
      </c>
      <c r="BI44" s="7">
        <f t="shared" ca="1" si="25"/>
        <v>0.19627398156672643</v>
      </c>
      <c r="BJ44" s="7">
        <f t="shared" ca="1" si="25"/>
        <v>0.19627398156672643</v>
      </c>
      <c r="BK44" s="7">
        <f t="shared" ca="1" si="25"/>
        <v>1319.6532159850813</v>
      </c>
      <c r="BL44" s="7">
        <f ca="1">SUM(C44:BK44)</f>
        <v>8469.4969727692551</v>
      </c>
      <c r="BM44" s="45">
        <f ca="1">BL44/$BL$45</f>
        <v>8.1382677735088338E-2</v>
      </c>
    </row>
    <row r="45" spans="2:65">
      <c r="B45" t="s">
        <v>742</v>
      </c>
      <c r="C45" s="7">
        <f t="shared" ref="C45:AH45" si="26">C37+C29</f>
        <v>73159.5</v>
      </c>
      <c r="D45" s="7">
        <f t="shared" ca="1" si="26"/>
        <v>122.28689682749456</v>
      </c>
      <c r="E45" s="7">
        <f t="shared" ca="1" si="26"/>
        <v>105.62662269759463</v>
      </c>
      <c r="F45" s="7">
        <f t="shared" ca="1" si="26"/>
        <v>94.954321011720282</v>
      </c>
      <c r="G45" s="7">
        <f t="shared" ca="1" si="26"/>
        <v>75.371332023432018</v>
      </c>
      <c r="H45" s="7">
        <f t="shared" ca="1" si="26"/>
        <v>60.66056763628751</v>
      </c>
      <c r="I45" s="7">
        <f t="shared" ca="1" si="26"/>
        <v>43.400641093444264</v>
      </c>
      <c r="J45" s="7">
        <f t="shared" ca="1" si="26"/>
        <v>32.551814451391465</v>
      </c>
      <c r="K45" s="7">
        <f t="shared" ca="1" si="26"/>
        <v>24.047194763197247</v>
      </c>
      <c r="L45" s="7">
        <f t="shared" ca="1" si="26"/>
        <v>16.748443650956126</v>
      </c>
      <c r="M45" s="7">
        <f t="shared" ca="1" si="26"/>
        <v>15.548685474361772</v>
      </c>
      <c r="N45" s="7">
        <f t="shared" ca="1" si="26"/>
        <v>14.044649484139381</v>
      </c>
      <c r="O45" s="7">
        <f t="shared" ca="1" si="26"/>
        <v>13.347406637648337</v>
      </c>
      <c r="P45" s="7">
        <f t="shared" ca="1" si="26"/>
        <v>12.755753596870946</v>
      </c>
      <c r="Q45" s="7">
        <f t="shared" ca="1" si="26"/>
        <v>11.605944684888534</v>
      </c>
      <c r="R45" s="7">
        <f t="shared" ca="1" si="26"/>
        <v>2337.1190163113656</v>
      </c>
      <c r="S45" s="7">
        <f t="shared" ca="1" si="26"/>
        <v>6.8509874635904442</v>
      </c>
      <c r="T45" s="7">
        <f t="shared" ca="1" si="26"/>
        <v>6.6330687397711889</v>
      </c>
      <c r="U45" s="7">
        <f t="shared" ca="1" si="26"/>
        <v>6.3412467712916794</v>
      </c>
      <c r="V45" s="7">
        <f t="shared" ca="1" si="26"/>
        <v>4.1496052779607462</v>
      </c>
      <c r="W45" s="7">
        <f t="shared" ca="1" si="26"/>
        <v>3.7201296742963956</v>
      </c>
      <c r="X45" s="7">
        <f t="shared" ca="1" si="26"/>
        <v>2.8863113227222592</v>
      </c>
      <c r="Y45" s="7">
        <f t="shared" ca="1" si="26"/>
        <v>2.8518545578661678</v>
      </c>
      <c r="Z45" s="7">
        <f t="shared" ca="1" si="26"/>
        <v>2.7270985616895214</v>
      </c>
      <c r="AA45" s="7">
        <f t="shared" ca="1" si="26"/>
        <v>2.6831925953766098</v>
      </c>
      <c r="AB45" s="7">
        <f t="shared" ca="1" si="26"/>
        <v>8314.7157057763961</v>
      </c>
      <c r="AC45" s="7">
        <f t="shared" ca="1" si="26"/>
        <v>2.6831925953766098</v>
      </c>
      <c r="AD45" s="7">
        <f t="shared" ca="1" si="26"/>
        <v>2.6831925953766098</v>
      </c>
      <c r="AE45" s="7">
        <f t="shared" ca="1" si="26"/>
        <v>2.6831925953766098</v>
      </c>
      <c r="AF45" s="7">
        <f t="shared" ca="1" si="26"/>
        <v>2.6831925953766098</v>
      </c>
      <c r="AG45" s="7">
        <f t="shared" ca="1" si="26"/>
        <v>2.6831925953766098</v>
      </c>
      <c r="AH45" s="7">
        <f t="shared" ca="1" si="26"/>
        <v>2.6831925953766098</v>
      </c>
      <c r="AI45" s="7">
        <f t="shared" ref="AI45:BK45" ca="1" si="27">AI37+AI29</f>
        <v>2.6831925953766098</v>
      </c>
      <c r="AJ45" s="7">
        <f t="shared" ca="1" si="27"/>
        <v>2.6831925953766098</v>
      </c>
      <c r="AK45" s="7">
        <f t="shared" ca="1" si="27"/>
        <v>2.6831925953766098</v>
      </c>
      <c r="AL45" s="7">
        <f t="shared" ca="1" si="27"/>
        <v>2.6831925953766098</v>
      </c>
      <c r="AM45" s="7">
        <f t="shared" ca="1" si="27"/>
        <v>2.6831925953766098</v>
      </c>
      <c r="AN45" s="7">
        <f t="shared" ca="1" si="27"/>
        <v>2.6831925953766098</v>
      </c>
      <c r="AO45" s="7">
        <f t="shared" ca="1" si="27"/>
        <v>2.6831925953766098</v>
      </c>
      <c r="AP45" s="7">
        <f t="shared" ca="1" si="27"/>
        <v>2.6831925953766098</v>
      </c>
      <c r="AQ45" s="7">
        <f t="shared" ca="1" si="27"/>
        <v>2.6831925953766098</v>
      </c>
      <c r="AR45" s="7">
        <f t="shared" ca="1" si="27"/>
        <v>2.6831925953766098</v>
      </c>
      <c r="AS45" s="7">
        <f t="shared" ca="1" si="27"/>
        <v>2.6831925953766098</v>
      </c>
      <c r="AT45" s="7">
        <f t="shared" ca="1" si="27"/>
        <v>2.6831925953766098</v>
      </c>
      <c r="AU45" s="7">
        <f t="shared" ca="1" si="27"/>
        <v>2.6831925953766098</v>
      </c>
      <c r="AV45" s="7">
        <f t="shared" ca="1" si="27"/>
        <v>2.6831925953766098</v>
      </c>
      <c r="AW45" s="7">
        <f t="shared" ca="1" si="27"/>
        <v>2.6831925953766098</v>
      </c>
      <c r="AX45" s="7">
        <f t="shared" ca="1" si="27"/>
        <v>2.6831925953766098</v>
      </c>
      <c r="AY45" s="7">
        <f t="shared" ca="1" si="27"/>
        <v>2.6831925953766098</v>
      </c>
      <c r="AZ45" s="7">
        <f t="shared" ca="1" si="27"/>
        <v>2.6831925953766098</v>
      </c>
      <c r="BA45" s="7">
        <f t="shared" ca="1" si="27"/>
        <v>3285.1418920681353</v>
      </c>
      <c r="BB45" s="7">
        <f t="shared" ca="1" si="27"/>
        <v>2.6831925953766098</v>
      </c>
      <c r="BC45" s="7">
        <f t="shared" ca="1" si="27"/>
        <v>2.6831925953766098</v>
      </c>
      <c r="BD45" s="7">
        <f t="shared" ca="1" si="27"/>
        <v>2.6831925953766098</v>
      </c>
      <c r="BE45" s="7">
        <f t="shared" ca="1" si="27"/>
        <v>2.6831925953766098</v>
      </c>
      <c r="BF45" s="7">
        <f t="shared" ca="1" si="27"/>
        <v>2.6831925953766098</v>
      </c>
      <c r="BG45" s="7">
        <f t="shared" ca="1" si="27"/>
        <v>2.6831925953766098</v>
      </c>
      <c r="BH45" s="7">
        <f t="shared" ca="1" si="27"/>
        <v>2.6831925953766098</v>
      </c>
      <c r="BI45" s="7">
        <f t="shared" ca="1" si="27"/>
        <v>2.6831925953766098</v>
      </c>
      <c r="BJ45" s="7">
        <f t="shared" ca="1" si="27"/>
        <v>2.6831925953766098</v>
      </c>
      <c r="BK45" s="7">
        <f t="shared" ca="1" si="27"/>
        <v>16203.205160960928</v>
      </c>
      <c r="BL45" s="7">
        <f ca="1">SUM(C45:BK45)</f>
        <v>104070.0208997622</v>
      </c>
      <c r="BM45" s="45">
        <f ca="1">BL45/$BL$45</f>
        <v>1</v>
      </c>
    </row>
    <row r="47" spans="2:65">
      <c r="B47" s="1" t="s">
        <v>756</v>
      </c>
    </row>
    <row r="48" spans="2:65">
      <c r="B48" s="41" t="s">
        <v>719</v>
      </c>
      <c r="C48" s="101">
        <f>INPUT!C8</f>
        <v>2026</v>
      </c>
      <c r="D48" s="101">
        <f t="shared" ref="D48:AI48" si="28">C48+1</f>
        <v>2027</v>
      </c>
      <c r="E48" s="101">
        <f t="shared" si="28"/>
        <v>2028</v>
      </c>
      <c r="F48" s="101">
        <f t="shared" si="28"/>
        <v>2029</v>
      </c>
      <c r="G48" s="101">
        <f t="shared" si="28"/>
        <v>2030</v>
      </c>
      <c r="H48" s="101">
        <f t="shared" si="28"/>
        <v>2031</v>
      </c>
      <c r="I48" s="101">
        <f t="shared" si="28"/>
        <v>2032</v>
      </c>
      <c r="J48" s="101">
        <f t="shared" si="28"/>
        <v>2033</v>
      </c>
      <c r="K48" s="101">
        <f t="shared" si="28"/>
        <v>2034</v>
      </c>
      <c r="L48" s="101">
        <f t="shared" si="28"/>
        <v>2035</v>
      </c>
      <c r="M48" s="101">
        <f t="shared" si="28"/>
        <v>2036</v>
      </c>
      <c r="N48" s="101">
        <f t="shared" si="28"/>
        <v>2037</v>
      </c>
      <c r="O48" s="101">
        <f t="shared" si="28"/>
        <v>2038</v>
      </c>
      <c r="P48" s="101">
        <f t="shared" si="28"/>
        <v>2039</v>
      </c>
      <c r="Q48" s="101">
        <f t="shared" si="28"/>
        <v>2040</v>
      </c>
      <c r="R48" s="101">
        <f t="shared" si="28"/>
        <v>2041</v>
      </c>
      <c r="S48" s="101">
        <f t="shared" si="28"/>
        <v>2042</v>
      </c>
      <c r="T48" s="101">
        <f t="shared" si="28"/>
        <v>2043</v>
      </c>
      <c r="U48" s="101">
        <f t="shared" si="28"/>
        <v>2044</v>
      </c>
      <c r="V48" s="101">
        <f t="shared" si="28"/>
        <v>2045</v>
      </c>
      <c r="W48" s="101">
        <f t="shared" si="28"/>
        <v>2046</v>
      </c>
      <c r="X48" s="101">
        <f t="shared" si="28"/>
        <v>2047</v>
      </c>
      <c r="Y48" s="101">
        <f t="shared" si="28"/>
        <v>2048</v>
      </c>
      <c r="Z48" s="101">
        <f t="shared" si="28"/>
        <v>2049</v>
      </c>
      <c r="AA48" s="101">
        <f t="shared" si="28"/>
        <v>2050</v>
      </c>
      <c r="AB48" s="101">
        <f t="shared" si="28"/>
        <v>2051</v>
      </c>
      <c r="AC48" s="101">
        <f t="shared" si="28"/>
        <v>2052</v>
      </c>
      <c r="AD48" s="101">
        <f t="shared" si="28"/>
        <v>2053</v>
      </c>
      <c r="AE48" s="101">
        <f t="shared" si="28"/>
        <v>2054</v>
      </c>
      <c r="AF48" s="101">
        <f t="shared" si="28"/>
        <v>2055</v>
      </c>
      <c r="AG48" s="101">
        <f t="shared" si="28"/>
        <v>2056</v>
      </c>
      <c r="AH48" s="101">
        <f t="shared" si="28"/>
        <v>2057</v>
      </c>
      <c r="AI48" s="101">
        <f t="shared" si="28"/>
        <v>2058</v>
      </c>
      <c r="AJ48" s="101">
        <f t="shared" ref="AJ48:BK48" si="29">AI48+1</f>
        <v>2059</v>
      </c>
      <c r="AK48" s="101">
        <f t="shared" si="29"/>
        <v>2060</v>
      </c>
      <c r="AL48" s="101">
        <f t="shared" si="29"/>
        <v>2061</v>
      </c>
      <c r="AM48" s="101">
        <f t="shared" si="29"/>
        <v>2062</v>
      </c>
      <c r="AN48" s="101">
        <f t="shared" si="29"/>
        <v>2063</v>
      </c>
      <c r="AO48" s="101">
        <f t="shared" si="29"/>
        <v>2064</v>
      </c>
      <c r="AP48" s="101">
        <f t="shared" si="29"/>
        <v>2065</v>
      </c>
      <c r="AQ48" s="101">
        <f t="shared" si="29"/>
        <v>2066</v>
      </c>
      <c r="AR48" s="101">
        <f t="shared" si="29"/>
        <v>2067</v>
      </c>
      <c r="AS48" s="101">
        <f t="shared" si="29"/>
        <v>2068</v>
      </c>
      <c r="AT48" s="101">
        <f t="shared" si="29"/>
        <v>2069</v>
      </c>
      <c r="AU48" s="101">
        <f t="shared" si="29"/>
        <v>2070</v>
      </c>
      <c r="AV48" s="101">
        <f t="shared" si="29"/>
        <v>2071</v>
      </c>
      <c r="AW48" s="101">
        <f t="shared" si="29"/>
        <v>2072</v>
      </c>
      <c r="AX48" s="101">
        <f t="shared" si="29"/>
        <v>2073</v>
      </c>
      <c r="AY48" s="101">
        <f t="shared" si="29"/>
        <v>2074</v>
      </c>
      <c r="AZ48" s="101">
        <f t="shared" si="29"/>
        <v>2075</v>
      </c>
      <c r="BA48" s="101">
        <f t="shared" si="29"/>
        <v>2076</v>
      </c>
      <c r="BB48" s="101">
        <f t="shared" si="29"/>
        <v>2077</v>
      </c>
      <c r="BC48" s="101">
        <f t="shared" si="29"/>
        <v>2078</v>
      </c>
      <c r="BD48" s="101">
        <f t="shared" si="29"/>
        <v>2079</v>
      </c>
      <c r="BE48" s="101">
        <f t="shared" si="29"/>
        <v>2080</v>
      </c>
      <c r="BF48" s="101">
        <f t="shared" si="29"/>
        <v>2081</v>
      </c>
      <c r="BG48" s="101">
        <f t="shared" si="29"/>
        <v>2082</v>
      </c>
      <c r="BH48" s="101">
        <f t="shared" si="29"/>
        <v>2083</v>
      </c>
      <c r="BI48" s="101">
        <f t="shared" si="29"/>
        <v>2084</v>
      </c>
      <c r="BJ48" s="101">
        <f t="shared" si="29"/>
        <v>2085</v>
      </c>
      <c r="BK48" s="101">
        <f t="shared" si="29"/>
        <v>2086</v>
      </c>
      <c r="BM48" s="41" t="s">
        <v>752</v>
      </c>
    </row>
    <row r="49" spans="2:65">
      <c r="B49" t="s">
        <v>757</v>
      </c>
      <c r="C49" s="7">
        <f>C33</f>
        <v>19907</v>
      </c>
      <c r="D49" s="7">
        <f t="shared" ref="D49:AI49" si="30">C49+D33</f>
        <v>19907</v>
      </c>
      <c r="E49" s="7">
        <f t="shared" si="30"/>
        <v>19907</v>
      </c>
      <c r="F49" s="7">
        <f t="shared" si="30"/>
        <v>19907</v>
      </c>
      <c r="G49" s="7">
        <f t="shared" si="30"/>
        <v>19907</v>
      </c>
      <c r="H49" s="7">
        <f t="shared" si="30"/>
        <v>19907</v>
      </c>
      <c r="I49" s="7">
        <f t="shared" si="30"/>
        <v>19907</v>
      </c>
      <c r="J49" s="7">
        <f t="shared" si="30"/>
        <v>19907</v>
      </c>
      <c r="K49" s="7">
        <f t="shared" si="30"/>
        <v>19907</v>
      </c>
      <c r="L49" s="7">
        <f t="shared" si="30"/>
        <v>19907</v>
      </c>
      <c r="M49" s="7">
        <f t="shared" si="30"/>
        <v>19907</v>
      </c>
      <c r="N49" s="7">
        <f t="shared" si="30"/>
        <v>19907</v>
      </c>
      <c r="O49" s="7">
        <f t="shared" si="30"/>
        <v>19907</v>
      </c>
      <c r="P49" s="7">
        <f t="shared" si="30"/>
        <v>19907</v>
      </c>
      <c r="Q49" s="7">
        <f t="shared" si="30"/>
        <v>19907</v>
      </c>
      <c r="R49" s="7">
        <f t="shared" si="30"/>
        <v>20540.862917398947</v>
      </c>
      <c r="S49" s="7">
        <f t="shared" si="30"/>
        <v>20540.862917398947</v>
      </c>
      <c r="T49" s="7">
        <f t="shared" si="30"/>
        <v>20540.862917398947</v>
      </c>
      <c r="U49" s="7">
        <f t="shared" si="30"/>
        <v>20540.862917398947</v>
      </c>
      <c r="V49" s="7">
        <f t="shared" si="30"/>
        <v>20540.862917398947</v>
      </c>
      <c r="W49" s="7">
        <f t="shared" si="30"/>
        <v>20540.862917398947</v>
      </c>
      <c r="X49" s="7">
        <f t="shared" si="30"/>
        <v>20540.862917398947</v>
      </c>
      <c r="Y49" s="7">
        <f t="shared" si="30"/>
        <v>20540.862917398947</v>
      </c>
      <c r="Z49" s="7">
        <f t="shared" si="30"/>
        <v>20540.862917398947</v>
      </c>
      <c r="AA49" s="7">
        <f t="shared" si="30"/>
        <v>20540.862917398947</v>
      </c>
      <c r="AB49" s="7">
        <f t="shared" si="30"/>
        <v>22802.601054481547</v>
      </c>
      <c r="AC49" s="7">
        <f t="shared" si="30"/>
        <v>22802.601054481547</v>
      </c>
      <c r="AD49" s="7">
        <f t="shared" si="30"/>
        <v>22802.601054481547</v>
      </c>
      <c r="AE49" s="7">
        <f t="shared" si="30"/>
        <v>22802.601054481547</v>
      </c>
      <c r="AF49" s="7">
        <f t="shared" si="30"/>
        <v>22802.601054481547</v>
      </c>
      <c r="AG49" s="7">
        <f t="shared" si="30"/>
        <v>22802.601054481547</v>
      </c>
      <c r="AH49" s="7">
        <f t="shared" si="30"/>
        <v>22802.601054481547</v>
      </c>
      <c r="AI49" s="7">
        <f t="shared" si="30"/>
        <v>22802.601054481547</v>
      </c>
      <c r="AJ49" s="7">
        <f t="shared" ref="AJ49:BK49" si="31">AI49+AJ33</f>
        <v>22802.601054481547</v>
      </c>
      <c r="AK49" s="7">
        <f t="shared" si="31"/>
        <v>22802.601054481547</v>
      </c>
      <c r="AL49" s="7">
        <f t="shared" si="31"/>
        <v>22802.601054481547</v>
      </c>
      <c r="AM49" s="7">
        <f t="shared" si="31"/>
        <v>22802.601054481547</v>
      </c>
      <c r="AN49" s="7">
        <f t="shared" si="31"/>
        <v>22802.601054481547</v>
      </c>
      <c r="AO49" s="7">
        <f t="shared" si="31"/>
        <v>22802.601054481547</v>
      </c>
      <c r="AP49" s="7">
        <f t="shared" si="31"/>
        <v>22802.601054481547</v>
      </c>
      <c r="AQ49" s="7">
        <f t="shared" si="31"/>
        <v>22802.601054481547</v>
      </c>
      <c r="AR49" s="7">
        <f t="shared" si="31"/>
        <v>22802.601054481547</v>
      </c>
      <c r="AS49" s="7">
        <f t="shared" si="31"/>
        <v>22802.601054481547</v>
      </c>
      <c r="AT49" s="7">
        <f t="shared" si="31"/>
        <v>22802.601054481547</v>
      </c>
      <c r="AU49" s="7">
        <f t="shared" si="31"/>
        <v>22802.601054481547</v>
      </c>
      <c r="AV49" s="7">
        <f t="shared" si="31"/>
        <v>22802.601054481547</v>
      </c>
      <c r="AW49" s="7">
        <f t="shared" si="31"/>
        <v>22802.601054481547</v>
      </c>
      <c r="AX49" s="7">
        <f t="shared" si="31"/>
        <v>22802.601054481547</v>
      </c>
      <c r="AY49" s="7">
        <f t="shared" si="31"/>
        <v>22802.601054481547</v>
      </c>
      <c r="AZ49" s="7">
        <f t="shared" si="31"/>
        <v>22802.601054481547</v>
      </c>
      <c r="BA49" s="7">
        <f t="shared" si="31"/>
        <v>23695.771528998244</v>
      </c>
      <c r="BB49" s="7">
        <f t="shared" si="31"/>
        <v>23695.771528998244</v>
      </c>
      <c r="BC49" s="7">
        <f t="shared" si="31"/>
        <v>23695.771528998244</v>
      </c>
      <c r="BD49" s="7">
        <f t="shared" si="31"/>
        <v>23695.771528998244</v>
      </c>
      <c r="BE49" s="7">
        <f t="shared" si="31"/>
        <v>23695.771528998244</v>
      </c>
      <c r="BF49" s="7">
        <f t="shared" si="31"/>
        <v>23695.771528998244</v>
      </c>
      <c r="BG49" s="7">
        <f t="shared" si="31"/>
        <v>23695.771528998244</v>
      </c>
      <c r="BH49" s="7">
        <f t="shared" si="31"/>
        <v>23695.771528998244</v>
      </c>
      <c r="BI49" s="7">
        <f t="shared" si="31"/>
        <v>23695.771528998244</v>
      </c>
      <c r="BJ49" s="7">
        <f t="shared" si="31"/>
        <v>23695.771528998244</v>
      </c>
      <c r="BK49" s="7">
        <f t="shared" si="31"/>
        <v>28104</v>
      </c>
      <c r="BM49" s="45">
        <f t="shared" ref="BM49:BM57" ca="1" si="32">BK49/$BK$57</f>
        <v>0.27004895124474992</v>
      </c>
    </row>
    <row r="50" spans="2:65">
      <c r="B50" t="s">
        <v>758</v>
      </c>
      <c r="C50" s="7">
        <f>C34</f>
        <v>43044</v>
      </c>
      <c r="D50" s="7">
        <f t="shared" ref="D50:AI50" si="33">C50+D34</f>
        <v>43044</v>
      </c>
      <c r="E50" s="7">
        <f t="shared" si="33"/>
        <v>43044</v>
      </c>
      <c r="F50" s="7">
        <f t="shared" si="33"/>
        <v>43044</v>
      </c>
      <c r="G50" s="7">
        <f t="shared" si="33"/>
        <v>43044</v>
      </c>
      <c r="H50" s="7">
        <f t="shared" si="33"/>
        <v>43044</v>
      </c>
      <c r="I50" s="7">
        <f t="shared" si="33"/>
        <v>43044</v>
      </c>
      <c r="J50" s="7">
        <f t="shared" si="33"/>
        <v>43044</v>
      </c>
      <c r="K50" s="7">
        <f t="shared" si="33"/>
        <v>43044</v>
      </c>
      <c r="L50" s="7">
        <f t="shared" si="33"/>
        <v>43044</v>
      </c>
      <c r="M50" s="7">
        <f t="shared" si="33"/>
        <v>43044</v>
      </c>
      <c r="N50" s="7">
        <f t="shared" si="33"/>
        <v>43044</v>
      </c>
      <c r="O50" s="7">
        <f t="shared" si="33"/>
        <v>43044</v>
      </c>
      <c r="P50" s="7">
        <f t="shared" si="33"/>
        <v>43044</v>
      </c>
      <c r="Q50" s="7">
        <f t="shared" si="33"/>
        <v>43044</v>
      </c>
      <c r="R50" s="7">
        <f t="shared" si="33"/>
        <v>44414.572934973636</v>
      </c>
      <c r="S50" s="7">
        <f t="shared" si="33"/>
        <v>44414.572934973636</v>
      </c>
      <c r="T50" s="7">
        <f t="shared" si="33"/>
        <v>44414.572934973636</v>
      </c>
      <c r="U50" s="7">
        <f t="shared" si="33"/>
        <v>44414.572934973636</v>
      </c>
      <c r="V50" s="7">
        <f t="shared" si="33"/>
        <v>44414.572934973636</v>
      </c>
      <c r="W50" s="7">
        <f t="shared" si="33"/>
        <v>44414.572934973636</v>
      </c>
      <c r="X50" s="7">
        <f t="shared" si="33"/>
        <v>44414.572934973636</v>
      </c>
      <c r="Y50" s="7">
        <f t="shared" si="33"/>
        <v>44414.572934973636</v>
      </c>
      <c r="Z50" s="7">
        <f t="shared" si="33"/>
        <v>44414.572934973636</v>
      </c>
      <c r="AA50" s="7">
        <f t="shared" si="33"/>
        <v>44414.572934973636</v>
      </c>
      <c r="AB50" s="7">
        <f t="shared" si="33"/>
        <v>49305.026362038661</v>
      </c>
      <c r="AC50" s="7">
        <f t="shared" si="33"/>
        <v>49305.026362038661</v>
      </c>
      <c r="AD50" s="7">
        <f t="shared" si="33"/>
        <v>49305.026362038661</v>
      </c>
      <c r="AE50" s="7">
        <f t="shared" si="33"/>
        <v>49305.026362038661</v>
      </c>
      <c r="AF50" s="7">
        <f t="shared" si="33"/>
        <v>49305.026362038661</v>
      </c>
      <c r="AG50" s="7">
        <f t="shared" si="33"/>
        <v>49305.026362038661</v>
      </c>
      <c r="AH50" s="7">
        <f t="shared" si="33"/>
        <v>49305.026362038661</v>
      </c>
      <c r="AI50" s="7">
        <f t="shared" si="33"/>
        <v>49305.026362038661</v>
      </c>
      <c r="AJ50" s="7">
        <f t="shared" ref="AJ50:BK50" si="34">AI50+AJ34</f>
        <v>49305.026362038661</v>
      </c>
      <c r="AK50" s="7">
        <f t="shared" si="34"/>
        <v>49305.026362038661</v>
      </c>
      <c r="AL50" s="7">
        <f t="shared" si="34"/>
        <v>49305.026362038661</v>
      </c>
      <c r="AM50" s="7">
        <f t="shared" si="34"/>
        <v>49305.026362038661</v>
      </c>
      <c r="AN50" s="7">
        <f t="shared" si="34"/>
        <v>49305.026362038661</v>
      </c>
      <c r="AO50" s="7">
        <f t="shared" si="34"/>
        <v>49305.026362038661</v>
      </c>
      <c r="AP50" s="7">
        <f t="shared" si="34"/>
        <v>49305.026362038661</v>
      </c>
      <c r="AQ50" s="7">
        <f t="shared" si="34"/>
        <v>49305.026362038661</v>
      </c>
      <c r="AR50" s="7">
        <f t="shared" si="34"/>
        <v>49305.026362038661</v>
      </c>
      <c r="AS50" s="7">
        <f t="shared" si="34"/>
        <v>49305.026362038661</v>
      </c>
      <c r="AT50" s="7">
        <f t="shared" si="34"/>
        <v>49305.026362038661</v>
      </c>
      <c r="AU50" s="7">
        <f t="shared" si="34"/>
        <v>49305.026362038661</v>
      </c>
      <c r="AV50" s="7">
        <f t="shared" si="34"/>
        <v>49305.026362038661</v>
      </c>
      <c r="AW50" s="7">
        <f t="shared" si="34"/>
        <v>49305.026362038661</v>
      </c>
      <c r="AX50" s="7">
        <f t="shared" si="34"/>
        <v>49305.026362038661</v>
      </c>
      <c r="AY50" s="7">
        <f t="shared" si="34"/>
        <v>49305.026362038661</v>
      </c>
      <c r="AZ50" s="7">
        <f t="shared" si="34"/>
        <v>49305.026362038661</v>
      </c>
      <c r="BA50" s="7">
        <f t="shared" si="34"/>
        <v>51236.288224956057</v>
      </c>
      <c r="BB50" s="7">
        <f t="shared" si="34"/>
        <v>51236.288224956057</v>
      </c>
      <c r="BC50" s="7">
        <f t="shared" si="34"/>
        <v>51236.288224956057</v>
      </c>
      <c r="BD50" s="7">
        <f t="shared" si="34"/>
        <v>51236.288224956057</v>
      </c>
      <c r="BE50" s="7">
        <f t="shared" si="34"/>
        <v>51236.288224956057</v>
      </c>
      <c r="BF50" s="7">
        <f t="shared" si="34"/>
        <v>51236.288224956057</v>
      </c>
      <c r="BG50" s="7">
        <f t="shared" si="34"/>
        <v>51236.288224956057</v>
      </c>
      <c r="BH50" s="7">
        <f t="shared" si="34"/>
        <v>51236.288224956057</v>
      </c>
      <c r="BI50" s="7">
        <f t="shared" si="34"/>
        <v>51236.288224956057</v>
      </c>
      <c r="BJ50" s="7">
        <f t="shared" si="34"/>
        <v>51236.288224956057</v>
      </c>
      <c r="BK50" s="7">
        <f t="shared" si="34"/>
        <v>60767.999999999993</v>
      </c>
      <c r="BM50" s="45">
        <f t="shared" ca="1" si="32"/>
        <v>0.58391455555226879</v>
      </c>
    </row>
    <row r="51" spans="2:65">
      <c r="B51" t="s">
        <v>759</v>
      </c>
      <c r="C51" s="7">
        <f>C35</f>
        <v>4250</v>
      </c>
      <c r="D51" s="7">
        <f t="shared" ref="D51:AI51" si="35">C51+D35</f>
        <v>4250</v>
      </c>
      <c r="E51" s="7">
        <f t="shared" si="35"/>
        <v>4250</v>
      </c>
      <c r="F51" s="7">
        <f t="shared" si="35"/>
        <v>4250</v>
      </c>
      <c r="G51" s="7">
        <f t="shared" si="35"/>
        <v>4250</v>
      </c>
      <c r="H51" s="7">
        <f t="shared" si="35"/>
        <v>4250</v>
      </c>
      <c r="I51" s="7">
        <f t="shared" si="35"/>
        <v>4250</v>
      </c>
      <c r="J51" s="7">
        <f t="shared" si="35"/>
        <v>4250</v>
      </c>
      <c r="K51" s="7">
        <f t="shared" si="35"/>
        <v>4250</v>
      </c>
      <c r="L51" s="7">
        <f t="shared" si="35"/>
        <v>4250</v>
      </c>
      <c r="M51" s="7">
        <f t="shared" si="35"/>
        <v>4250</v>
      </c>
      <c r="N51" s="7">
        <f t="shared" si="35"/>
        <v>4250</v>
      </c>
      <c r="O51" s="7">
        <f t="shared" si="35"/>
        <v>4250</v>
      </c>
      <c r="P51" s="7">
        <f t="shared" si="35"/>
        <v>4250</v>
      </c>
      <c r="Q51" s="7">
        <f t="shared" si="35"/>
        <v>4250</v>
      </c>
      <c r="R51" s="7">
        <f t="shared" si="35"/>
        <v>4385.3251318101929</v>
      </c>
      <c r="S51" s="7">
        <f t="shared" si="35"/>
        <v>4385.3251318101929</v>
      </c>
      <c r="T51" s="7">
        <f t="shared" si="35"/>
        <v>4385.3251318101929</v>
      </c>
      <c r="U51" s="7">
        <f t="shared" si="35"/>
        <v>4385.3251318101929</v>
      </c>
      <c r="V51" s="7">
        <f t="shared" si="35"/>
        <v>4385.3251318101929</v>
      </c>
      <c r="W51" s="7">
        <f t="shared" si="35"/>
        <v>4385.3251318101929</v>
      </c>
      <c r="X51" s="7">
        <f t="shared" si="35"/>
        <v>4385.3251318101929</v>
      </c>
      <c r="Y51" s="7">
        <f t="shared" si="35"/>
        <v>4385.3251318101929</v>
      </c>
      <c r="Z51" s="7">
        <f t="shared" si="35"/>
        <v>4385.3251318101929</v>
      </c>
      <c r="AA51" s="7">
        <f t="shared" si="35"/>
        <v>4385.3251318101929</v>
      </c>
      <c r="AB51" s="7">
        <f t="shared" si="35"/>
        <v>4868.1898066783824</v>
      </c>
      <c r="AC51" s="7">
        <f t="shared" si="35"/>
        <v>4868.1898066783824</v>
      </c>
      <c r="AD51" s="7">
        <f t="shared" si="35"/>
        <v>4868.1898066783824</v>
      </c>
      <c r="AE51" s="7">
        <f t="shared" si="35"/>
        <v>4868.1898066783824</v>
      </c>
      <c r="AF51" s="7">
        <f t="shared" si="35"/>
        <v>4868.1898066783824</v>
      </c>
      <c r="AG51" s="7">
        <f t="shared" si="35"/>
        <v>4868.1898066783824</v>
      </c>
      <c r="AH51" s="7">
        <f t="shared" si="35"/>
        <v>4868.1898066783824</v>
      </c>
      <c r="AI51" s="7">
        <f t="shared" si="35"/>
        <v>4868.1898066783824</v>
      </c>
      <c r="AJ51" s="7">
        <f t="shared" ref="AJ51:BK51" si="36">AI51+AJ35</f>
        <v>4868.1898066783824</v>
      </c>
      <c r="AK51" s="7">
        <f t="shared" si="36"/>
        <v>4868.1898066783824</v>
      </c>
      <c r="AL51" s="7">
        <f t="shared" si="36"/>
        <v>4868.1898066783824</v>
      </c>
      <c r="AM51" s="7">
        <f t="shared" si="36"/>
        <v>4868.1898066783824</v>
      </c>
      <c r="AN51" s="7">
        <f t="shared" si="36"/>
        <v>4868.1898066783824</v>
      </c>
      <c r="AO51" s="7">
        <f t="shared" si="36"/>
        <v>4868.1898066783824</v>
      </c>
      <c r="AP51" s="7">
        <f t="shared" si="36"/>
        <v>4868.1898066783824</v>
      </c>
      <c r="AQ51" s="7">
        <f t="shared" si="36"/>
        <v>4868.1898066783824</v>
      </c>
      <c r="AR51" s="7">
        <f t="shared" si="36"/>
        <v>4868.1898066783824</v>
      </c>
      <c r="AS51" s="7">
        <f t="shared" si="36"/>
        <v>4868.1898066783824</v>
      </c>
      <c r="AT51" s="7">
        <f t="shared" si="36"/>
        <v>4868.1898066783824</v>
      </c>
      <c r="AU51" s="7">
        <f t="shared" si="36"/>
        <v>4868.1898066783824</v>
      </c>
      <c r="AV51" s="7">
        <f t="shared" si="36"/>
        <v>4868.1898066783824</v>
      </c>
      <c r="AW51" s="7">
        <f t="shared" si="36"/>
        <v>4868.1898066783824</v>
      </c>
      <c r="AX51" s="7">
        <f t="shared" si="36"/>
        <v>4868.1898066783824</v>
      </c>
      <c r="AY51" s="7">
        <f t="shared" si="36"/>
        <v>4868.1898066783824</v>
      </c>
      <c r="AZ51" s="7">
        <f t="shared" si="36"/>
        <v>4868.1898066783824</v>
      </c>
      <c r="BA51" s="7">
        <f t="shared" si="36"/>
        <v>5058.8752196836549</v>
      </c>
      <c r="BB51" s="7">
        <f t="shared" si="36"/>
        <v>5058.8752196836549</v>
      </c>
      <c r="BC51" s="7">
        <f t="shared" si="36"/>
        <v>5058.8752196836549</v>
      </c>
      <c r="BD51" s="7">
        <f t="shared" si="36"/>
        <v>5058.8752196836549</v>
      </c>
      <c r="BE51" s="7">
        <f t="shared" si="36"/>
        <v>5058.8752196836549</v>
      </c>
      <c r="BF51" s="7">
        <f t="shared" si="36"/>
        <v>5058.8752196836549</v>
      </c>
      <c r="BG51" s="7">
        <f t="shared" si="36"/>
        <v>5058.8752196836549</v>
      </c>
      <c r="BH51" s="7">
        <f t="shared" si="36"/>
        <v>5058.8752196836549</v>
      </c>
      <c r="BI51" s="7">
        <f t="shared" si="36"/>
        <v>5058.8752196836549</v>
      </c>
      <c r="BJ51" s="7">
        <f t="shared" si="36"/>
        <v>5058.8752196836549</v>
      </c>
      <c r="BK51" s="7">
        <f t="shared" si="36"/>
        <v>5999.9999999999991</v>
      </c>
      <c r="BM51" s="45">
        <f t="shared" ca="1" si="32"/>
        <v>5.765349087206445E-2</v>
      </c>
    </row>
    <row r="52" spans="2:65">
      <c r="B52" t="s">
        <v>760</v>
      </c>
      <c r="C52" s="7">
        <f>C36</f>
        <v>5958.4999999999991</v>
      </c>
      <c r="D52" s="7">
        <f t="shared" ref="D52:AI52" si="37">C52+D36</f>
        <v>5958.4999999999991</v>
      </c>
      <c r="E52" s="7">
        <f t="shared" si="37"/>
        <v>5958.4999999999991</v>
      </c>
      <c r="F52" s="7">
        <f t="shared" si="37"/>
        <v>5958.4999999999991</v>
      </c>
      <c r="G52" s="7">
        <f t="shared" si="37"/>
        <v>5958.4999999999991</v>
      </c>
      <c r="H52" s="7">
        <f t="shared" si="37"/>
        <v>5958.4999999999991</v>
      </c>
      <c r="I52" s="7">
        <f t="shared" si="37"/>
        <v>5958.4999999999991</v>
      </c>
      <c r="J52" s="7">
        <f t="shared" si="37"/>
        <v>5958.4999999999991</v>
      </c>
      <c r="K52" s="7">
        <f t="shared" si="37"/>
        <v>5958.4999999999991</v>
      </c>
      <c r="L52" s="7">
        <f t="shared" si="37"/>
        <v>5958.4999999999991</v>
      </c>
      <c r="M52" s="7">
        <f t="shared" si="37"/>
        <v>5958.4999999999991</v>
      </c>
      <c r="N52" s="7">
        <f t="shared" si="37"/>
        <v>5958.4999999999991</v>
      </c>
      <c r="O52" s="7">
        <f t="shared" si="37"/>
        <v>5958.4999999999991</v>
      </c>
      <c r="P52" s="7">
        <f t="shared" si="37"/>
        <v>5958.4999999999991</v>
      </c>
      <c r="Q52" s="7">
        <f t="shared" si="37"/>
        <v>5958.4999999999991</v>
      </c>
      <c r="R52" s="7">
        <f t="shared" si="37"/>
        <v>6148.2258347978905</v>
      </c>
      <c r="S52" s="7">
        <f t="shared" si="37"/>
        <v>6148.2258347978905</v>
      </c>
      <c r="T52" s="7">
        <f t="shared" si="37"/>
        <v>6148.2258347978905</v>
      </c>
      <c r="U52" s="7">
        <f t="shared" si="37"/>
        <v>6148.2258347978905</v>
      </c>
      <c r="V52" s="7">
        <f t="shared" si="37"/>
        <v>6148.2258347978905</v>
      </c>
      <c r="W52" s="7">
        <f t="shared" si="37"/>
        <v>6148.2258347978905</v>
      </c>
      <c r="X52" s="7">
        <f t="shared" si="37"/>
        <v>6148.2258347978905</v>
      </c>
      <c r="Y52" s="7">
        <f t="shared" si="37"/>
        <v>6148.2258347978905</v>
      </c>
      <c r="Z52" s="7">
        <f t="shared" si="37"/>
        <v>6148.2258347978905</v>
      </c>
      <c r="AA52" s="7">
        <f t="shared" si="37"/>
        <v>6148.2258347978905</v>
      </c>
      <c r="AB52" s="7">
        <f t="shared" si="37"/>
        <v>6825.2021089630925</v>
      </c>
      <c r="AC52" s="7">
        <f t="shared" si="37"/>
        <v>6825.2021089630925</v>
      </c>
      <c r="AD52" s="7">
        <f t="shared" si="37"/>
        <v>6825.2021089630925</v>
      </c>
      <c r="AE52" s="7">
        <f t="shared" si="37"/>
        <v>6825.2021089630925</v>
      </c>
      <c r="AF52" s="7">
        <f t="shared" si="37"/>
        <v>6825.2021089630925</v>
      </c>
      <c r="AG52" s="7">
        <f t="shared" si="37"/>
        <v>6825.2021089630925</v>
      </c>
      <c r="AH52" s="7">
        <f t="shared" si="37"/>
        <v>6825.2021089630925</v>
      </c>
      <c r="AI52" s="7">
        <f t="shared" si="37"/>
        <v>6825.2021089630925</v>
      </c>
      <c r="AJ52" s="7">
        <f t="shared" ref="AJ52:BK52" si="38">AI52+AJ36</f>
        <v>6825.2021089630925</v>
      </c>
      <c r="AK52" s="7">
        <f t="shared" si="38"/>
        <v>6825.2021089630925</v>
      </c>
      <c r="AL52" s="7">
        <f t="shared" si="38"/>
        <v>6825.2021089630925</v>
      </c>
      <c r="AM52" s="7">
        <f t="shared" si="38"/>
        <v>6825.2021089630925</v>
      </c>
      <c r="AN52" s="7">
        <f t="shared" si="38"/>
        <v>6825.2021089630925</v>
      </c>
      <c r="AO52" s="7">
        <f t="shared" si="38"/>
        <v>6825.2021089630925</v>
      </c>
      <c r="AP52" s="7">
        <f t="shared" si="38"/>
        <v>6825.2021089630925</v>
      </c>
      <c r="AQ52" s="7">
        <f t="shared" si="38"/>
        <v>6825.2021089630925</v>
      </c>
      <c r="AR52" s="7">
        <f t="shared" si="38"/>
        <v>6825.2021089630925</v>
      </c>
      <c r="AS52" s="7">
        <f t="shared" si="38"/>
        <v>6825.2021089630925</v>
      </c>
      <c r="AT52" s="7">
        <f t="shared" si="38"/>
        <v>6825.2021089630925</v>
      </c>
      <c r="AU52" s="7">
        <f t="shared" si="38"/>
        <v>6825.2021089630925</v>
      </c>
      <c r="AV52" s="7">
        <f t="shared" si="38"/>
        <v>6825.2021089630925</v>
      </c>
      <c r="AW52" s="7">
        <f t="shared" si="38"/>
        <v>6825.2021089630925</v>
      </c>
      <c r="AX52" s="7">
        <f t="shared" si="38"/>
        <v>6825.2021089630925</v>
      </c>
      <c r="AY52" s="7">
        <f t="shared" si="38"/>
        <v>6825.2021089630925</v>
      </c>
      <c r="AZ52" s="7">
        <f t="shared" si="38"/>
        <v>6825.2021089630925</v>
      </c>
      <c r="BA52" s="7">
        <f t="shared" si="38"/>
        <v>7092.5430579964841</v>
      </c>
      <c r="BB52" s="7">
        <f t="shared" si="38"/>
        <v>7092.5430579964841</v>
      </c>
      <c r="BC52" s="7">
        <f t="shared" si="38"/>
        <v>7092.5430579964841</v>
      </c>
      <c r="BD52" s="7">
        <f t="shared" si="38"/>
        <v>7092.5430579964841</v>
      </c>
      <c r="BE52" s="7">
        <f t="shared" si="38"/>
        <v>7092.5430579964841</v>
      </c>
      <c r="BF52" s="7">
        <f t="shared" si="38"/>
        <v>7092.5430579964841</v>
      </c>
      <c r="BG52" s="7">
        <f t="shared" si="38"/>
        <v>7092.5430579964841</v>
      </c>
      <c r="BH52" s="7">
        <f t="shared" si="38"/>
        <v>7092.5430579964841</v>
      </c>
      <c r="BI52" s="7">
        <f t="shared" si="38"/>
        <v>7092.5430579964841</v>
      </c>
      <c r="BJ52" s="7">
        <f t="shared" si="38"/>
        <v>7092.5430579964841</v>
      </c>
      <c r="BK52" s="7">
        <f t="shared" si="38"/>
        <v>8411.9999999999982</v>
      </c>
      <c r="BM52" s="45">
        <f t="shared" ca="1" si="32"/>
        <v>8.0830194202634362E-2</v>
      </c>
    </row>
    <row r="53" spans="2:65">
      <c r="B53" t="s">
        <v>761</v>
      </c>
      <c r="C53" s="7">
        <f>C25</f>
        <v>0</v>
      </c>
      <c r="D53" s="7">
        <f t="shared" ref="D53:AI53" ca="1" si="39">C53+D25</f>
        <v>34.283834168119974</v>
      </c>
      <c r="E53" s="7">
        <f t="shared" ca="1" si="39"/>
        <v>63.896864756436571</v>
      </c>
      <c r="F53" s="7">
        <f t="shared" ca="1" si="39"/>
        <v>90.517854245641729</v>
      </c>
      <c r="G53" s="7">
        <f t="shared" ca="1" si="39"/>
        <v>111.64864025100442</v>
      </c>
      <c r="H53" s="7">
        <f t="shared" ca="1" si="39"/>
        <v>128.6551789345416</v>
      </c>
      <c r="I53" s="7">
        <f t="shared" ca="1" si="39"/>
        <v>140.82279803879211</v>
      </c>
      <c r="J53" s="7">
        <f t="shared" ca="1" si="39"/>
        <v>149.94888625818012</v>
      </c>
      <c r="K53" s="7">
        <f t="shared" ca="1" si="39"/>
        <v>156.69065548168842</v>
      </c>
      <c r="L53" s="7">
        <f t="shared" ca="1" si="39"/>
        <v>161.38617789332901</v>
      </c>
      <c r="M53" s="7">
        <f t="shared" ca="1" si="39"/>
        <v>165.74534120652726</v>
      </c>
      <c r="N53" s="7">
        <f t="shared" ca="1" si="39"/>
        <v>169.68283938789699</v>
      </c>
      <c r="O53" s="7">
        <f t="shared" ca="1" si="39"/>
        <v>173.42486153099804</v>
      </c>
      <c r="P53" s="7">
        <f t="shared" ca="1" si="39"/>
        <v>177.00101034456577</v>
      </c>
      <c r="Q53" s="7">
        <f t="shared" ca="1" si="39"/>
        <v>180.25480362302625</v>
      </c>
      <c r="R53" s="7">
        <f t="shared" ca="1" si="39"/>
        <v>182.39453399817123</v>
      </c>
      <c r="S53" s="7">
        <f t="shared" ca="1" si="39"/>
        <v>184.31524769835562</v>
      </c>
      <c r="T53" s="7">
        <f t="shared" ca="1" si="39"/>
        <v>186.17486663218833</v>
      </c>
      <c r="U53" s="7">
        <f t="shared" ca="1" si="39"/>
        <v>187.95267160039168</v>
      </c>
      <c r="V53" s="7">
        <f t="shared" ca="1" si="39"/>
        <v>189.11603728308987</v>
      </c>
      <c r="W53" s="7">
        <f t="shared" ca="1" si="39"/>
        <v>190.15899701259707</v>
      </c>
      <c r="X53" s="7">
        <f t="shared" ca="1" si="39"/>
        <v>190.96819097624279</v>
      </c>
      <c r="Y53" s="7">
        <f t="shared" ca="1" si="39"/>
        <v>191.76772478787763</v>
      </c>
      <c r="Z53" s="7">
        <f t="shared" ca="1" si="39"/>
        <v>192.53228253915472</v>
      </c>
      <c r="AA53" s="7">
        <f t="shared" ca="1" si="39"/>
        <v>193.28453100049876</v>
      </c>
      <c r="AB53" s="7">
        <f t="shared" ca="1" si="39"/>
        <v>194.0367794618428</v>
      </c>
      <c r="AC53" s="7">
        <f t="shared" ca="1" si="39"/>
        <v>194.78902792318684</v>
      </c>
      <c r="AD53" s="7">
        <f t="shared" ca="1" si="39"/>
        <v>195.54127638453087</v>
      </c>
      <c r="AE53" s="7">
        <f t="shared" ca="1" si="39"/>
        <v>196.29352484587491</v>
      </c>
      <c r="AF53" s="7">
        <f t="shared" ca="1" si="39"/>
        <v>197.04577330721895</v>
      </c>
      <c r="AG53" s="7">
        <f t="shared" ca="1" si="39"/>
        <v>197.79802176856299</v>
      </c>
      <c r="AH53" s="7">
        <f t="shared" ca="1" si="39"/>
        <v>198.55027022990703</v>
      </c>
      <c r="AI53" s="7">
        <f t="shared" ca="1" si="39"/>
        <v>199.30251869125107</v>
      </c>
      <c r="AJ53" s="7">
        <f t="shared" ref="AJ53:BK53" ca="1" si="40">AI53+AJ25</f>
        <v>200.0547671525951</v>
      </c>
      <c r="AK53" s="7">
        <f t="shared" ca="1" si="40"/>
        <v>200.80701561393914</v>
      </c>
      <c r="AL53" s="7">
        <f t="shared" ca="1" si="40"/>
        <v>201.55926407528318</v>
      </c>
      <c r="AM53" s="7">
        <f t="shared" ca="1" si="40"/>
        <v>202.31151253662722</v>
      </c>
      <c r="AN53" s="7">
        <f t="shared" ca="1" si="40"/>
        <v>203.06376099797126</v>
      </c>
      <c r="AO53" s="7">
        <f t="shared" ca="1" si="40"/>
        <v>203.8160094593153</v>
      </c>
      <c r="AP53" s="7">
        <f t="shared" ca="1" si="40"/>
        <v>204.56825792065933</v>
      </c>
      <c r="AQ53" s="7">
        <f t="shared" ca="1" si="40"/>
        <v>205.32050638200337</v>
      </c>
      <c r="AR53" s="7">
        <f t="shared" ca="1" si="40"/>
        <v>206.07275484334741</v>
      </c>
      <c r="AS53" s="7">
        <f t="shared" ca="1" si="40"/>
        <v>206.82500330469145</v>
      </c>
      <c r="AT53" s="7">
        <f t="shared" ca="1" si="40"/>
        <v>207.57725176603549</v>
      </c>
      <c r="AU53" s="7">
        <f t="shared" ca="1" si="40"/>
        <v>208.32950022737953</v>
      </c>
      <c r="AV53" s="7">
        <f t="shared" ca="1" si="40"/>
        <v>209.08174868872356</v>
      </c>
      <c r="AW53" s="7">
        <f t="shared" ca="1" si="40"/>
        <v>209.8339971500676</v>
      </c>
      <c r="AX53" s="7">
        <f t="shared" ca="1" si="40"/>
        <v>210.58624561141164</v>
      </c>
      <c r="AY53" s="7">
        <f t="shared" ca="1" si="40"/>
        <v>211.33849407275568</v>
      </c>
      <c r="AZ53" s="7">
        <f t="shared" ca="1" si="40"/>
        <v>212.09074253409972</v>
      </c>
      <c r="BA53" s="7">
        <f t="shared" ca="1" si="40"/>
        <v>212.84299099544376</v>
      </c>
      <c r="BB53" s="7">
        <f t="shared" ca="1" si="40"/>
        <v>213.59523945678779</v>
      </c>
      <c r="BC53" s="7">
        <f t="shared" ca="1" si="40"/>
        <v>214.34748791813183</v>
      </c>
      <c r="BD53" s="7">
        <f t="shared" ca="1" si="40"/>
        <v>215.09973637947587</v>
      </c>
      <c r="BE53" s="7">
        <f t="shared" ca="1" si="40"/>
        <v>215.85198484081991</v>
      </c>
      <c r="BF53" s="7">
        <f t="shared" ca="1" si="40"/>
        <v>216.60423330216395</v>
      </c>
      <c r="BG53" s="7">
        <f t="shared" ca="1" si="40"/>
        <v>217.35648176350799</v>
      </c>
      <c r="BH53" s="7">
        <f t="shared" ca="1" si="40"/>
        <v>218.10873022485202</v>
      </c>
      <c r="BI53" s="7">
        <f t="shared" ca="1" si="40"/>
        <v>218.86097868619606</v>
      </c>
      <c r="BJ53" s="7">
        <f t="shared" ca="1" si="40"/>
        <v>219.6132271475401</v>
      </c>
      <c r="BK53" s="7">
        <f t="shared" ca="1" si="40"/>
        <v>220.36547560888414</v>
      </c>
      <c r="BM53" s="45">
        <f t="shared" ca="1" si="32"/>
        <v>2.1174731560891576E-3</v>
      </c>
    </row>
    <row r="54" spans="2:65">
      <c r="B54" t="s">
        <v>762</v>
      </c>
      <c r="C54" s="7">
        <f>C26</f>
        <v>0</v>
      </c>
      <c r="D54" s="7">
        <f t="shared" ref="D54:AI54" ca="1" si="41">C54+D26</f>
        <v>74.130374136361894</v>
      </c>
      <c r="E54" s="7">
        <f t="shared" ca="1" si="41"/>
        <v>138.16128229145806</v>
      </c>
      <c r="F54" s="7">
        <f t="shared" ca="1" si="41"/>
        <v>195.72263616564035</v>
      </c>
      <c r="G54" s="7">
        <f t="shared" ca="1" si="41"/>
        <v>241.41277294239387</v>
      </c>
      <c r="H54" s="7">
        <f t="shared" ca="1" si="41"/>
        <v>278.18523745709598</v>
      </c>
      <c r="I54" s="7">
        <f t="shared" ca="1" si="41"/>
        <v>304.49472641692716</v>
      </c>
      <c r="J54" s="7">
        <f t="shared" ca="1" si="41"/>
        <v>324.2276515847243</v>
      </c>
      <c r="K54" s="7">
        <f t="shared" ca="1" si="41"/>
        <v>338.80507231394978</v>
      </c>
      <c r="L54" s="7">
        <f t="shared" ca="1" si="41"/>
        <v>348.95798670017865</v>
      </c>
      <c r="M54" s="7">
        <f t="shared" ca="1" si="41"/>
        <v>358.3836071177858</v>
      </c>
      <c r="N54" s="7">
        <f t="shared" ca="1" si="41"/>
        <v>366.89748021362539</v>
      </c>
      <c r="O54" s="7">
        <f t="shared" ca="1" si="41"/>
        <v>374.98868436933151</v>
      </c>
      <c r="P54" s="7">
        <f t="shared" ca="1" si="41"/>
        <v>382.72122817458643</v>
      </c>
      <c r="Q54" s="7">
        <f t="shared" ca="1" si="41"/>
        <v>389.75675727882378</v>
      </c>
      <c r="R54" s="7">
        <f t="shared" ca="1" si="41"/>
        <v>394.38339887563598</v>
      </c>
      <c r="S54" s="7">
        <f t="shared" ca="1" si="41"/>
        <v>398.53647068508678</v>
      </c>
      <c r="T54" s="7">
        <f t="shared" ca="1" si="41"/>
        <v>402.55744006208459</v>
      </c>
      <c r="U54" s="7">
        <f t="shared" ca="1" si="41"/>
        <v>406.40150682509989</v>
      </c>
      <c r="V54" s="7">
        <f t="shared" ca="1" si="41"/>
        <v>408.91699948828676</v>
      </c>
      <c r="W54" s="7">
        <f t="shared" ca="1" si="41"/>
        <v>411.17214383936471</v>
      </c>
      <c r="X54" s="7">
        <f t="shared" ca="1" si="41"/>
        <v>412.92182711515545</v>
      </c>
      <c r="Y54" s="7">
        <f t="shared" ca="1" si="41"/>
        <v>414.65062268395081</v>
      </c>
      <c r="Z54" s="7">
        <f t="shared" ca="1" si="41"/>
        <v>416.30379110942783</v>
      </c>
      <c r="AA54" s="7">
        <f t="shared" ca="1" si="41"/>
        <v>417.93034371756028</v>
      </c>
      <c r="AB54" s="7">
        <f t="shared" ca="1" si="41"/>
        <v>419.55689632569272</v>
      </c>
      <c r="AC54" s="7">
        <f t="shared" ca="1" si="41"/>
        <v>421.18344893382516</v>
      </c>
      <c r="AD54" s="7">
        <f t="shared" ca="1" si="41"/>
        <v>422.8100015419576</v>
      </c>
      <c r="AE54" s="7">
        <f t="shared" ca="1" si="41"/>
        <v>424.43655415009005</v>
      </c>
      <c r="AF54" s="7">
        <f t="shared" ca="1" si="41"/>
        <v>426.06310675822249</v>
      </c>
      <c r="AG54" s="7">
        <f t="shared" ca="1" si="41"/>
        <v>427.68965936635493</v>
      </c>
      <c r="AH54" s="7">
        <f t="shared" ca="1" si="41"/>
        <v>429.31621197448737</v>
      </c>
      <c r="AI54" s="7">
        <f t="shared" ca="1" si="41"/>
        <v>430.94276458261982</v>
      </c>
      <c r="AJ54" s="7">
        <f t="shared" ref="AJ54:BK54" ca="1" si="42">AI54+AJ26</f>
        <v>432.56931719075226</v>
      </c>
      <c r="AK54" s="7">
        <f t="shared" ca="1" si="42"/>
        <v>434.1958697988847</v>
      </c>
      <c r="AL54" s="7">
        <f t="shared" ca="1" si="42"/>
        <v>435.82242240701714</v>
      </c>
      <c r="AM54" s="7">
        <f t="shared" ca="1" si="42"/>
        <v>437.44897501514959</v>
      </c>
      <c r="AN54" s="7">
        <f t="shared" ca="1" si="42"/>
        <v>439.07552762328203</v>
      </c>
      <c r="AO54" s="7">
        <f t="shared" ca="1" si="42"/>
        <v>440.70208023141447</v>
      </c>
      <c r="AP54" s="7">
        <f t="shared" ca="1" si="42"/>
        <v>442.32863283954691</v>
      </c>
      <c r="AQ54" s="7">
        <f t="shared" ca="1" si="42"/>
        <v>443.95518544767936</v>
      </c>
      <c r="AR54" s="7">
        <f t="shared" ca="1" si="42"/>
        <v>445.5817380558118</v>
      </c>
      <c r="AS54" s="7">
        <f t="shared" ca="1" si="42"/>
        <v>447.20829066394424</v>
      </c>
      <c r="AT54" s="7">
        <f t="shared" ca="1" si="42"/>
        <v>448.83484327207668</v>
      </c>
      <c r="AU54" s="7">
        <f t="shared" ca="1" si="42"/>
        <v>450.46139588020912</v>
      </c>
      <c r="AV54" s="7">
        <f t="shared" ca="1" si="42"/>
        <v>452.08794848834157</v>
      </c>
      <c r="AW54" s="7">
        <f t="shared" ca="1" si="42"/>
        <v>453.71450109647401</v>
      </c>
      <c r="AX54" s="7">
        <f t="shared" ca="1" si="42"/>
        <v>455.34105370460645</v>
      </c>
      <c r="AY54" s="7">
        <f t="shared" ca="1" si="42"/>
        <v>456.96760631273889</v>
      </c>
      <c r="AZ54" s="7">
        <f t="shared" ca="1" si="42"/>
        <v>458.59415892087134</v>
      </c>
      <c r="BA54" s="7">
        <f t="shared" ca="1" si="42"/>
        <v>460.22071152900378</v>
      </c>
      <c r="BB54" s="7">
        <f t="shared" ca="1" si="42"/>
        <v>461.84726413713622</v>
      </c>
      <c r="BC54" s="7">
        <f t="shared" ca="1" si="42"/>
        <v>463.47381674526866</v>
      </c>
      <c r="BD54" s="7">
        <f t="shared" ca="1" si="42"/>
        <v>465.10036935340111</v>
      </c>
      <c r="BE54" s="7">
        <f t="shared" ca="1" si="42"/>
        <v>466.72692196153355</v>
      </c>
      <c r="BF54" s="7">
        <f t="shared" ca="1" si="42"/>
        <v>468.35347456966599</v>
      </c>
      <c r="BG54" s="7">
        <f t="shared" ca="1" si="42"/>
        <v>469.98002717779843</v>
      </c>
      <c r="BH54" s="7">
        <f t="shared" ca="1" si="42"/>
        <v>471.60657978593088</v>
      </c>
      <c r="BI54" s="7">
        <f t="shared" ca="1" si="42"/>
        <v>473.23313239406332</v>
      </c>
      <c r="BJ54" s="7">
        <f t="shared" ca="1" si="42"/>
        <v>474.85968500219576</v>
      </c>
      <c r="BK54" s="7">
        <f t="shared" ca="1" si="42"/>
        <v>476.4862376103282</v>
      </c>
      <c r="BM54" s="45">
        <f t="shared" ca="1" si="32"/>
        <v>4.5785158251218988E-3</v>
      </c>
    </row>
    <row r="55" spans="2:65">
      <c r="B55" t="s">
        <v>763</v>
      </c>
      <c r="C55" s="7">
        <f>C27</f>
        <v>0</v>
      </c>
      <c r="D55" s="7">
        <f t="shared" ref="D55:AI55" ca="1" si="43">C55+D27</f>
        <v>4.9274729707899176</v>
      </c>
      <c r="E55" s="7">
        <f t="shared" ca="1" si="43"/>
        <v>9.1836307590804545</v>
      </c>
      <c r="F55" s="7">
        <f t="shared" ca="1" si="43"/>
        <v>13.009754917787237</v>
      </c>
      <c r="G55" s="7">
        <f t="shared" ca="1" si="43"/>
        <v>16.046794951943962</v>
      </c>
      <c r="H55" s="7">
        <f t="shared" ca="1" si="43"/>
        <v>18.49107406258516</v>
      </c>
      <c r="I55" s="7">
        <f t="shared" ca="1" si="43"/>
        <v>20.23987537696129</v>
      </c>
      <c r="J55" s="7">
        <f t="shared" ca="1" si="43"/>
        <v>21.551530100571355</v>
      </c>
      <c r="K55" s="7">
        <f t="shared" ca="1" si="43"/>
        <v>22.52049656626005</v>
      </c>
      <c r="L55" s="7">
        <f t="shared" ca="1" si="43"/>
        <v>23.19536448370588</v>
      </c>
      <c r="M55" s="7">
        <f t="shared" ca="1" si="43"/>
        <v>23.82188890614102</v>
      </c>
      <c r="N55" s="7">
        <f t="shared" ca="1" si="43"/>
        <v>24.38780915199483</v>
      </c>
      <c r="O55" s="7">
        <f t="shared" ca="1" si="43"/>
        <v>24.925634439441055</v>
      </c>
      <c r="P55" s="7">
        <f t="shared" ca="1" si="43"/>
        <v>25.43961944275096</v>
      </c>
      <c r="Q55" s="7">
        <f t="shared" ca="1" si="43"/>
        <v>25.907273624997028</v>
      </c>
      <c r="R55" s="7">
        <f t="shared" ca="1" si="43"/>
        <v>26.214808177188665</v>
      </c>
      <c r="S55" s="7">
        <f t="shared" ca="1" si="43"/>
        <v>26.490864373116867</v>
      </c>
      <c r="T55" s="7">
        <f t="shared" ca="1" si="43"/>
        <v>26.758139672241683</v>
      </c>
      <c r="U55" s="7">
        <f t="shared" ca="1" si="43"/>
        <v>27.013656190178406</v>
      </c>
      <c r="V55" s="7">
        <f t="shared" ca="1" si="43"/>
        <v>27.180861903767187</v>
      </c>
      <c r="W55" s="7">
        <f t="shared" ca="1" si="43"/>
        <v>27.330762170218364</v>
      </c>
      <c r="X55" s="7">
        <f t="shared" ca="1" si="43"/>
        <v>27.447064254881298</v>
      </c>
      <c r="Y55" s="7">
        <f t="shared" ca="1" si="43"/>
        <v>27.561977926051913</v>
      </c>
      <c r="Z55" s="7">
        <f t="shared" ca="1" si="43"/>
        <v>27.671864633459013</v>
      </c>
      <c r="AA55" s="7">
        <f t="shared" ca="1" si="43"/>
        <v>27.779982177792423</v>
      </c>
      <c r="AB55" s="7">
        <f t="shared" ca="1" si="43"/>
        <v>27.888099722125833</v>
      </c>
      <c r="AC55" s="7">
        <f t="shared" ca="1" si="43"/>
        <v>27.996217266459244</v>
      </c>
      <c r="AD55" s="7">
        <f t="shared" ca="1" si="43"/>
        <v>28.104334810792654</v>
      </c>
      <c r="AE55" s="7">
        <f t="shared" ca="1" si="43"/>
        <v>28.212452355126064</v>
      </c>
      <c r="AF55" s="7">
        <f t="shared" ca="1" si="43"/>
        <v>28.320569899459475</v>
      </c>
      <c r="AG55" s="7">
        <f t="shared" ca="1" si="43"/>
        <v>28.428687443792885</v>
      </c>
      <c r="AH55" s="7">
        <f t="shared" ca="1" si="43"/>
        <v>28.536804988126296</v>
      </c>
      <c r="AI55" s="7">
        <f t="shared" ca="1" si="43"/>
        <v>28.644922532459706</v>
      </c>
      <c r="AJ55" s="7">
        <f t="shared" ref="AJ55:BK55" ca="1" si="44">AI55+AJ27</f>
        <v>28.753040076793116</v>
      </c>
      <c r="AK55" s="7">
        <f t="shared" ca="1" si="44"/>
        <v>28.861157621126527</v>
      </c>
      <c r="AL55" s="7">
        <f t="shared" ca="1" si="44"/>
        <v>28.969275165459937</v>
      </c>
      <c r="AM55" s="7">
        <f t="shared" ca="1" si="44"/>
        <v>29.077392709793347</v>
      </c>
      <c r="AN55" s="7">
        <f t="shared" ca="1" si="44"/>
        <v>29.185510254126758</v>
      </c>
      <c r="AO55" s="7">
        <f t="shared" ca="1" si="44"/>
        <v>29.293627798460168</v>
      </c>
      <c r="AP55" s="7">
        <f t="shared" ca="1" si="44"/>
        <v>29.401745342793578</v>
      </c>
      <c r="AQ55" s="7">
        <f t="shared" ca="1" si="44"/>
        <v>29.509862887126989</v>
      </c>
      <c r="AR55" s="7">
        <f t="shared" ca="1" si="44"/>
        <v>29.617980431460399</v>
      </c>
      <c r="AS55" s="7">
        <f t="shared" ca="1" si="44"/>
        <v>29.72609797579381</v>
      </c>
      <c r="AT55" s="7">
        <f t="shared" ca="1" si="44"/>
        <v>29.83421552012722</v>
      </c>
      <c r="AU55" s="7">
        <f t="shared" ca="1" si="44"/>
        <v>29.94233306446063</v>
      </c>
      <c r="AV55" s="7">
        <f t="shared" ca="1" si="44"/>
        <v>30.050450608794041</v>
      </c>
      <c r="AW55" s="7">
        <f t="shared" ca="1" si="44"/>
        <v>30.158568153127451</v>
      </c>
      <c r="AX55" s="7">
        <f t="shared" ca="1" si="44"/>
        <v>30.266685697460861</v>
      </c>
      <c r="AY55" s="7">
        <f t="shared" ca="1" si="44"/>
        <v>30.374803241794272</v>
      </c>
      <c r="AZ55" s="7">
        <f t="shared" ca="1" si="44"/>
        <v>30.482920786127682</v>
      </c>
      <c r="BA55" s="7">
        <f t="shared" ca="1" si="44"/>
        <v>30.591038330461092</v>
      </c>
      <c r="BB55" s="7">
        <f t="shared" ca="1" si="44"/>
        <v>30.699155874794503</v>
      </c>
      <c r="BC55" s="7">
        <f t="shared" ca="1" si="44"/>
        <v>30.807273419127913</v>
      </c>
      <c r="BD55" s="7">
        <f t="shared" ca="1" si="44"/>
        <v>30.915390963461324</v>
      </c>
      <c r="BE55" s="7">
        <f t="shared" ca="1" si="44"/>
        <v>31.023508507794734</v>
      </c>
      <c r="BF55" s="7">
        <f t="shared" ca="1" si="44"/>
        <v>31.131626052128144</v>
      </c>
      <c r="BG55" s="7">
        <f t="shared" ca="1" si="44"/>
        <v>31.239743596461555</v>
      </c>
      <c r="BH55" s="7">
        <f t="shared" ca="1" si="44"/>
        <v>31.347861140794965</v>
      </c>
      <c r="BI55" s="7">
        <f t="shared" ca="1" si="44"/>
        <v>31.455978685128375</v>
      </c>
      <c r="BJ55" s="7">
        <f t="shared" ca="1" si="44"/>
        <v>31.564096229461786</v>
      </c>
      <c r="BK55" s="7">
        <f t="shared" ca="1" si="44"/>
        <v>31.672213773795196</v>
      </c>
      <c r="BM55" s="45">
        <f t="shared" ca="1" si="32"/>
        <v>3.0433561461759595E-4</v>
      </c>
    </row>
    <row r="56" spans="2:65">
      <c r="B56" t="s">
        <v>764</v>
      </c>
      <c r="C56" s="7">
        <f>C28</f>
        <v>0</v>
      </c>
      <c r="D56" s="7">
        <f t="shared" ref="D56:AI56" ca="1" si="45">C56+D28</f>
        <v>8.9452155522227734</v>
      </c>
      <c r="E56" s="7">
        <f t="shared" ca="1" si="45"/>
        <v>16.671741718114106</v>
      </c>
      <c r="F56" s="7">
        <f t="shared" ca="1" si="45"/>
        <v>23.617595207740159</v>
      </c>
      <c r="G56" s="7">
        <f t="shared" ca="1" si="45"/>
        <v>29.13096441489926</v>
      </c>
      <c r="H56" s="7">
        <f t="shared" ca="1" si="45"/>
        <v>33.568249742306307</v>
      </c>
      <c r="I56" s="7">
        <f t="shared" ca="1" si="45"/>
        <v>36.742981457292707</v>
      </c>
      <c r="J56" s="7">
        <f t="shared" ca="1" si="45"/>
        <v>39.124127797888931</v>
      </c>
      <c r="K56" s="7">
        <f t="shared" ca="1" si="45"/>
        <v>40.883166142663725</v>
      </c>
      <c r="L56" s="7">
        <f t="shared" ca="1" si="45"/>
        <v>42.108305078304582</v>
      </c>
      <c r="M56" s="7">
        <f t="shared" ca="1" si="45"/>
        <v>43.245682399425789</v>
      </c>
      <c r="N56" s="7">
        <f t="shared" ca="1" si="45"/>
        <v>44.27304036050208</v>
      </c>
      <c r="O56" s="7">
        <f t="shared" ca="1" si="45"/>
        <v>45.249395411896998</v>
      </c>
      <c r="P56" s="7">
        <f t="shared" ca="1" si="45"/>
        <v>46.18247138663542</v>
      </c>
      <c r="Q56" s="7">
        <f t="shared" ca="1" si="45"/>
        <v>47.031439506580057</v>
      </c>
      <c r="R56" s="7">
        <f t="shared" ca="1" si="45"/>
        <v>47.58973031312901</v>
      </c>
      <c r="S56" s="7">
        <f t="shared" ca="1" si="45"/>
        <v>48.090876071156075</v>
      </c>
      <c r="T56" s="7">
        <f t="shared" ca="1" si="45"/>
        <v>48.576081200971942</v>
      </c>
      <c r="U56" s="7">
        <f t="shared" ca="1" si="45"/>
        <v>49.039939723108283</v>
      </c>
      <c r="V56" s="7">
        <f t="shared" ca="1" si="45"/>
        <v>49.343480941595189</v>
      </c>
      <c r="W56" s="7">
        <f t="shared" ca="1" si="45"/>
        <v>49.615606268855267</v>
      </c>
      <c r="X56" s="7">
        <f t="shared" ca="1" si="45"/>
        <v>49.826738267478092</v>
      </c>
      <c r="Y56" s="7">
        <f t="shared" ca="1" si="45"/>
        <v>50.035349773743462</v>
      </c>
      <c r="Z56" s="7">
        <f t="shared" ca="1" si="45"/>
        <v>50.234835451271792</v>
      </c>
      <c r="AA56" s="7">
        <f t="shared" ca="1" si="45"/>
        <v>50.431109432838518</v>
      </c>
      <c r="AB56" s="7">
        <f t="shared" ca="1" si="45"/>
        <v>50.627383414405244</v>
      </c>
      <c r="AC56" s="7">
        <f t="shared" ca="1" si="45"/>
        <v>50.823657395971971</v>
      </c>
      <c r="AD56" s="7">
        <f t="shared" ca="1" si="45"/>
        <v>51.019931377538697</v>
      </c>
      <c r="AE56" s="7">
        <f t="shared" ca="1" si="45"/>
        <v>51.216205359105423</v>
      </c>
      <c r="AF56" s="7">
        <f t="shared" ca="1" si="45"/>
        <v>51.412479340672149</v>
      </c>
      <c r="AG56" s="7">
        <f t="shared" ca="1" si="45"/>
        <v>51.608753322238876</v>
      </c>
      <c r="AH56" s="7">
        <f t="shared" ca="1" si="45"/>
        <v>51.805027303805602</v>
      </c>
      <c r="AI56" s="7">
        <f t="shared" ca="1" si="45"/>
        <v>52.001301285372328</v>
      </c>
      <c r="AJ56" s="7">
        <f t="shared" ref="AJ56:BK56" ca="1" si="46">AI56+AJ28</f>
        <v>52.197575266939054</v>
      </c>
      <c r="AK56" s="7">
        <f t="shared" ca="1" si="46"/>
        <v>52.393849248505781</v>
      </c>
      <c r="AL56" s="7">
        <f t="shared" ca="1" si="46"/>
        <v>52.590123230072507</v>
      </c>
      <c r="AM56" s="7">
        <f t="shared" ca="1" si="46"/>
        <v>52.786397211639233</v>
      </c>
      <c r="AN56" s="7">
        <f t="shared" ca="1" si="46"/>
        <v>52.98267119320596</v>
      </c>
      <c r="AO56" s="7">
        <f t="shared" ca="1" si="46"/>
        <v>53.178945174772686</v>
      </c>
      <c r="AP56" s="7">
        <f t="shared" ca="1" si="46"/>
        <v>53.375219156339412</v>
      </c>
      <c r="AQ56" s="7">
        <f t="shared" ca="1" si="46"/>
        <v>53.571493137906138</v>
      </c>
      <c r="AR56" s="7">
        <f t="shared" ca="1" si="46"/>
        <v>53.767767119472865</v>
      </c>
      <c r="AS56" s="7">
        <f t="shared" ca="1" si="46"/>
        <v>53.964041101039591</v>
      </c>
      <c r="AT56" s="7">
        <f t="shared" ca="1" si="46"/>
        <v>54.160315082606317</v>
      </c>
      <c r="AU56" s="7">
        <f t="shared" ca="1" si="46"/>
        <v>54.356589064173043</v>
      </c>
      <c r="AV56" s="7">
        <f t="shared" ca="1" si="46"/>
        <v>54.55286304573977</v>
      </c>
      <c r="AW56" s="7">
        <f t="shared" ca="1" si="46"/>
        <v>54.749137027306496</v>
      </c>
      <c r="AX56" s="7">
        <f t="shared" ca="1" si="46"/>
        <v>54.945411008873222</v>
      </c>
      <c r="AY56" s="7">
        <f t="shared" ca="1" si="46"/>
        <v>55.141684990439948</v>
      </c>
      <c r="AZ56" s="7">
        <f t="shared" ca="1" si="46"/>
        <v>55.337958972006675</v>
      </c>
      <c r="BA56" s="7">
        <f t="shared" ca="1" si="46"/>
        <v>55.534232953573401</v>
      </c>
      <c r="BB56" s="7">
        <f t="shared" ca="1" si="46"/>
        <v>55.730506935140127</v>
      </c>
      <c r="BC56" s="7">
        <f t="shared" ca="1" si="46"/>
        <v>55.926780916706853</v>
      </c>
      <c r="BD56" s="7">
        <f t="shared" ca="1" si="46"/>
        <v>56.12305489827358</v>
      </c>
      <c r="BE56" s="7">
        <f t="shared" ca="1" si="46"/>
        <v>56.319328879840306</v>
      </c>
      <c r="BF56" s="7">
        <f t="shared" ca="1" si="46"/>
        <v>56.515602861407032</v>
      </c>
      <c r="BG56" s="7">
        <f t="shared" ca="1" si="46"/>
        <v>56.711876842973759</v>
      </c>
      <c r="BH56" s="7">
        <f t="shared" ca="1" si="46"/>
        <v>56.908150824540485</v>
      </c>
      <c r="BI56" s="7">
        <f t="shared" ca="1" si="46"/>
        <v>57.104424806107211</v>
      </c>
      <c r="BJ56" s="7">
        <f t="shared" ca="1" si="46"/>
        <v>57.300698787673937</v>
      </c>
      <c r="BK56" s="7">
        <f t="shared" ca="1" si="46"/>
        <v>57.496972769240664</v>
      </c>
      <c r="BM56" s="45">
        <f t="shared" ca="1" si="32"/>
        <v>5.5248353245379263E-4</v>
      </c>
    </row>
    <row r="57" spans="2:65">
      <c r="B57" t="s">
        <v>501</v>
      </c>
      <c r="C57" s="7">
        <f t="shared" ref="C57:AH57" si="47">SUM(C49:C56)</f>
        <v>73159.5</v>
      </c>
      <c r="D57" s="7">
        <f t="shared" ca="1" si="47"/>
        <v>73281.786896827485</v>
      </c>
      <c r="E57" s="7">
        <f t="shared" ca="1" si="47"/>
        <v>73387.4135195251</v>
      </c>
      <c r="F57" s="7">
        <f t="shared" ca="1" si="47"/>
        <v>73482.367840536812</v>
      </c>
      <c r="G57" s="7">
        <f t="shared" ca="1" si="47"/>
        <v>73557.739172560236</v>
      </c>
      <c r="H57" s="7">
        <f t="shared" ca="1" si="47"/>
        <v>73618.399740196532</v>
      </c>
      <c r="I57" s="7">
        <f t="shared" ca="1" si="47"/>
        <v>73661.800381289984</v>
      </c>
      <c r="J57" s="7">
        <f t="shared" ca="1" si="47"/>
        <v>73694.352195741347</v>
      </c>
      <c r="K57" s="7">
        <f t="shared" ca="1" si="47"/>
        <v>73718.39939050455</v>
      </c>
      <c r="L57" s="7">
        <f t="shared" ca="1" si="47"/>
        <v>73735.147834155519</v>
      </c>
      <c r="M57" s="7">
        <f t="shared" ca="1" si="47"/>
        <v>73750.69651962987</v>
      </c>
      <c r="N57" s="7">
        <f t="shared" ca="1" si="47"/>
        <v>73764.74116911403</v>
      </c>
      <c r="O57" s="7">
        <f t="shared" ca="1" si="47"/>
        <v>73778.088575751666</v>
      </c>
      <c r="P57" s="7">
        <f t="shared" ca="1" si="47"/>
        <v>73790.844329348547</v>
      </c>
      <c r="Q57" s="7">
        <f t="shared" ca="1" si="47"/>
        <v>73802.450274033428</v>
      </c>
      <c r="R57" s="7">
        <f t="shared" ca="1" si="47"/>
        <v>76139.569290344807</v>
      </c>
      <c r="S57" s="7">
        <f t="shared" ca="1" si="47"/>
        <v>76146.420277808385</v>
      </c>
      <c r="T57" s="7">
        <f t="shared" ca="1" si="47"/>
        <v>76153.053346548157</v>
      </c>
      <c r="U57" s="7">
        <f t="shared" ca="1" si="47"/>
        <v>76159.394593319448</v>
      </c>
      <c r="V57" s="7">
        <f t="shared" ca="1" si="47"/>
        <v>76163.544198597403</v>
      </c>
      <c r="W57" s="7">
        <f t="shared" ca="1" si="47"/>
        <v>76167.264328271689</v>
      </c>
      <c r="X57" s="7">
        <f t="shared" ca="1" si="47"/>
        <v>76170.150639594445</v>
      </c>
      <c r="Y57" s="7">
        <f t="shared" ca="1" si="47"/>
        <v>76173.002494152286</v>
      </c>
      <c r="Z57" s="7">
        <f t="shared" ca="1" si="47"/>
        <v>76175.729592713978</v>
      </c>
      <c r="AA57" s="7">
        <f t="shared" ca="1" si="47"/>
        <v>76178.412785309352</v>
      </c>
      <c r="AB57" s="7">
        <f t="shared" ca="1" si="47"/>
        <v>84493.128491085736</v>
      </c>
      <c r="AC57" s="7">
        <f t="shared" ca="1" si="47"/>
        <v>84495.811683681095</v>
      </c>
      <c r="AD57" s="7">
        <f t="shared" ca="1" si="47"/>
        <v>84498.494876276498</v>
      </c>
      <c r="AE57" s="7">
        <f t="shared" ca="1" si="47"/>
        <v>84501.178068871872</v>
      </c>
      <c r="AF57" s="7">
        <f t="shared" ca="1" si="47"/>
        <v>84503.861261467246</v>
      </c>
      <c r="AG57" s="7">
        <f t="shared" ca="1" si="47"/>
        <v>84506.544454062634</v>
      </c>
      <c r="AH57" s="7">
        <f t="shared" ca="1" si="47"/>
        <v>84509.227646657993</v>
      </c>
      <c r="AI57" s="7">
        <f t="shared" ref="AI57:BK57" ca="1" si="48">SUM(AI49:AI56)</f>
        <v>84511.910839253382</v>
      </c>
      <c r="AJ57" s="7">
        <f t="shared" ca="1" si="48"/>
        <v>84514.594031848741</v>
      </c>
      <c r="AK57" s="7">
        <f t="shared" ca="1" si="48"/>
        <v>84517.277224444129</v>
      </c>
      <c r="AL57" s="7">
        <f t="shared" ca="1" si="48"/>
        <v>84519.960417039503</v>
      </c>
      <c r="AM57" s="7">
        <f t="shared" ca="1" si="48"/>
        <v>84522.643609634877</v>
      </c>
      <c r="AN57" s="7">
        <f t="shared" ca="1" si="48"/>
        <v>84525.326802230265</v>
      </c>
      <c r="AO57" s="7">
        <f t="shared" ca="1" si="48"/>
        <v>84528.009994825625</v>
      </c>
      <c r="AP57" s="7">
        <f t="shared" ca="1" si="48"/>
        <v>84530.693187421013</v>
      </c>
      <c r="AQ57" s="7">
        <f t="shared" ca="1" si="48"/>
        <v>84533.376380016372</v>
      </c>
      <c r="AR57" s="7">
        <f t="shared" ca="1" si="48"/>
        <v>84536.059572611761</v>
      </c>
      <c r="AS57" s="7">
        <f t="shared" ca="1" si="48"/>
        <v>84538.742765207135</v>
      </c>
      <c r="AT57" s="7">
        <f t="shared" ca="1" si="48"/>
        <v>84541.425957802523</v>
      </c>
      <c r="AU57" s="7">
        <f t="shared" ca="1" si="48"/>
        <v>84544.109150397897</v>
      </c>
      <c r="AV57" s="7">
        <f t="shared" ca="1" si="48"/>
        <v>84546.792342993271</v>
      </c>
      <c r="AW57" s="7">
        <f t="shared" ca="1" si="48"/>
        <v>84549.475535588645</v>
      </c>
      <c r="AX57" s="7">
        <f t="shared" ca="1" si="48"/>
        <v>84552.158728184004</v>
      </c>
      <c r="AY57" s="7">
        <f t="shared" ca="1" si="48"/>
        <v>84554.841920779392</v>
      </c>
      <c r="AZ57" s="7">
        <f t="shared" ca="1" si="48"/>
        <v>84557.525113374781</v>
      </c>
      <c r="BA57" s="7">
        <f t="shared" ca="1" si="48"/>
        <v>87842.667005442927</v>
      </c>
      <c r="BB57" s="7">
        <f t="shared" ca="1" si="48"/>
        <v>87845.350198038301</v>
      </c>
      <c r="BC57" s="7">
        <f t="shared" ca="1" si="48"/>
        <v>87848.033390633675</v>
      </c>
      <c r="BD57" s="7">
        <f t="shared" ca="1" si="48"/>
        <v>87850.716583229048</v>
      </c>
      <c r="BE57" s="7">
        <f t="shared" ca="1" si="48"/>
        <v>87853.399775824408</v>
      </c>
      <c r="BF57" s="7">
        <f t="shared" ca="1" si="48"/>
        <v>87856.082968419796</v>
      </c>
      <c r="BG57" s="7">
        <f t="shared" ca="1" si="48"/>
        <v>87858.766161015184</v>
      </c>
      <c r="BH57" s="7">
        <f t="shared" ca="1" si="48"/>
        <v>87861.449353610558</v>
      </c>
      <c r="BI57" s="7">
        <f t="shared" ca="1" si="48"/>
        <v>87864.132546205932</v>
      </c>
      <c r="BJ57" s="7">
        <f t="shared" ca="1" si="48"/>
        <v>87866.815738801306</v>
      </c>
      <c r="BK57" s="7">
        <f t="shared" ca="1" si="48"/>
        <v>104070.02089976224</v>
      </c>
      <c r="BM57" s="45">
        <f t="shared" ca="1" si="32"/>
        <v>1</v>
      </c>
    </row>
    <row r="59" spans="2:65">
      <c r="B59" s="1" t="s">
        <v>814</v>
      </c>
    </row>
    <row r="60" spans="2:65">
      <c r="B60" s="41" t="s">
        <v>815</v>
      </c>
    </row>
    <row r="61" spans="2:65">
      <c r="B61" t="s">
        <v>799</v>
      </c>
    </row>
    <row r="62" spans="2:65">
      <c r="B62" t="s">
        <v>718</v>
      </c>
      <c r="C62" s="164">
        <f>C4</f>
        <v>0</v>
      </c>
      <c r="D62" s="164">
        <f t="shared" ref="D62:BK62" si="49">D4</f>
        <v>1</v>
      </c>
      <c r="E62" s="164">
        <f t="shared" si="49"/>
        <v>2</v>
      </c>
      <c r="F62" s="164">
        <f t="shared" si="49"/>
        <v>3</v>
      </c>
      <c r="G62" s="164">
        <f t="shared" si="49"/>
        <v>4</v>
      </c>
      <c r="H62" s="164">
        <f t="shared" si="49"/>
        <v>5</v>
      </c>
      <c r="I62" s="164">
        <f t="shared" si="49"/>
        <v>6</v>
      </c>
      <c r="J62" s="164">
        <f t="shared" si="49"/>
        <v>7</v>
      </c>
      <c r="K62" s="164">
        <f t="shared" si="49"/>
        <v>8</v>
      </c>
      <c r="L62" s="164">
        <f t="shared" si="49"/>
        <v>9</v>
      </c>
      <c r="M62" s="164">
        <f t="shared" si="49"/>
        <v>10</v>
      </c>
      <c r="N62" s="164">
        <f t="shared" si="49"/>
        <v>11</v>
      </c>
      <c r="O62" s="164">
        <f t="shared" si="49"/>
        <v>12</v>
      </c>
      <c r="P62" s="164">
        <f t="shared" si="49"/>
        <v>13</v>
      </c>
      <c r="Q62" s="164">
        <f t="shared" si="49"/>
        <v>14</v>
      </c>
      <c r="R62" s="164">
        <f t="shared" si="49"/>
        <v>15</v>
      </c>
      <c r="S62" s="164">
        <f t="shared" si="49"/>
        <v>16</v>
      </c>
      <c r="T62" s="164">
        <f t="shared" si="49"/>
        <v>17</v>
      </c>
      <c r="U62" s="164">
        <f t="shared" si="49"/>
        <v>18</v>
      </c>
      <c r="V62" s="164">
        <f t="shared" si="49"/>
        <v>19</v>
      </c>
      <c r="W62" s="164">
        <f t="shared" si="49"/>
        <v>20</v>
      </c>
      <c r="X62" s="164">
        <f t="shared" si="49"/>
        <v>21</v>
      </c>
      <c r="Y62" s="164">
        <f t="shared" si="49"/>
        <v>22</v>
      </c>
      <c r="Z62" s="164">
        <f t="shared" si="49"/>
        <v>23</v>
      </c>
      <c r="AA62" s="164">
        <f t="shared" si="49"/>
        <v>24</v>
      </c>
      <c r="AB62" s="164">
        <f t="shared" si="49"/>
        <v>25</v>
      </c>
      <c r="AC62" s="164">
        <f t="shared" si="49"/>
        <v>26</v>
      </c>
      <c r="AD62" s="164">
        <f t="shared" si="49"/>
        <v>27</v>
      </c>
      <c r="AE62" s="164">
        <f t="shared" si="49"/>
        <v>28</v>
      </c>
      <c r="AF62" s="164">
        <f t="shared" si="49"/>
        <v>29</v>
      </c>
      <c r="AG62" s="164">
        <f t="shared" si="49"/>
        <v>30</v>
      </c>
      <c r="AH62" s="164">
        <f t="shared" si="49"/>
        <v>31</v>
      </c>
      <c r="AI62" s="164">
        <f t="shared" si="49"/>
        <v>32</v>
      </c>
      <c r="AJ62" s="164">
        <f t="shared" si="49"/>
        <v>33</v>
      </c>
      <c r="AK62" s="164">
        <f t="shared" si="49"/>
        <v>34</v>
      </c>
      <c r="AL62" s="164">
        <f t="shared" si="49"/>
        <v>35</v>
      </c>
      <c r="AM62" s="164">
        <f t="shared" si="49"/>
        <v>36</v>
      </c>
      <c r="AN62" s="164">
        <f t="shared" si="49"/>
        <v>37</v>
      </c>
      <c r="AO62" s="164">
        <f t="shared" si="49"/>
        <v>38</v>
      </c>
      <c r="AP62" s="164">
        <f t="shared" si="49"/>
        <v>39</v>
      </c>
      <c r="AQ62" s="164">
        <f t="shared" si="49"/>
        <v>40</v>
      </c>
      <c r="AR62" s="164">
        <f t="shared" si="49"/>
        <v>41</v>
      </c>
      <c r="AS62" s="164">
        <f t="shared" si="49"/>
        <v>42</v>
      </c>
      <c r="AT62" s="164">
        <f t="shared" si="49"/>
        <v>43</v>
      </c>
      <c r="AU62" s="164">
        <f t="shared" si="49"/>
        <v>44</v>
      </c>
      <c r="AV62" s="164">
        <f t="shared" si="49"/>
        <v>45</v>
      </c>
      <c r="AW62" s="164">
        <f t="shared" si="49"/>
        <v>46</v>
      </c>
      <c r="AX62" s="164">
        <f t="shared" si="49"/>
        <v>47</v>
      </c>
      <c r="AY62" s="164">
        <f t="shared" si="49"/>
        <v>48</v>
      </c>
      <c r="AZ62" s="164">
        <f t="shared" si="49"/>
        <v>49</v>
      </c>
      <c r="BA62" s="164">
        <f t="shared" si="49"/>
        <v>50</v>
      </c>
      <c r="BB62" s="164">
        <f t="shared" si="49"/>
        <v>51</v>
      </c>
      <c r="BC62" s="164">
        <f t="shared" si="49"/>
        <v>52</v>
      </c>
      <c r="BD62" s="164">
        <f t="shared" si="49"/>
        <v>53</v>
      </c>
      <c r="BE62" s="164">
        <f t="shared" si="49"/>
        <v>54</v>
      </c>
      <c r="BF62" s="164">
        <f t="shared" si="49"/>
        <v>55</v>
      </c>
      <c r="BG62" s="164">
        <f t="shared" si="49"/>
        <v>56</v>
      </c>
      <c r="BH62" s="164">
        <f t="shared" si="49"/>
        <v>57</v>
      </c>
      <c r="BI62" s="164">
        <f t="shared" si="49"/>
        <v>58</v>
      </c>
      <c r="BJ62" s="164">
        <f t="shared" si="49"/>
        <v>59</v>
      </c>
      <c r="BK62" s="164">
        <f t="shared" si="49"/>
        <v>60</v>
      </c>
    </row>
    <row r="63" spans="2:65">
      <c r="B63" s="41" t="s">
        <v>719</v>
      </c>
      <c r="C63" s="101">
        <f>INPUT!C8</f>
        <v>2026</v>
      </c>
      <c r="D63" s="101">
        <f>C63+1</f>
        <v>2027</v>
      </c>
      <c r="E63" s="101">
        <f t="shared" ref="E63:BK63" si="50">D63+1</f>
        <v>2028</v>
      </c>
      <c r="F63" s="101">
        <f t="shared" si="50"/>
        <v>2029</v>
      </c>
      <c r="G63" s="101">
        <f t="shared" si="50"/>
        <v>2030</v>
      </c>
      <c r="H63" s="101">
        <f t="shared" si="50"/>
        <v>2031</v>
      </c>
      <c r="I63" s="101">
        <f t="shared" si="50"/>
        <v>2032</v>
      </c>
      <c r="J63" s="101">
        <f t="shared" si="50"/>
        <v>2033</v>
      </c>
      <c r="K63" s="101">
        <f t="shared" si="50"/>
        <v>2034</v>
      </c>
      <c r="L63" s="101">
        <f t="shared" si="50"/>
        <v>2035</v>
      </c>
      <c r="M63" s="101">
        <f t="shared" si="50"/>
        <v>2036</v>
      </c>
      <c r="N63" s="101">
        <f t="shared" si="50"/>
        <v>2037</v>
      </c>
      <c r="O63" s="101">
        <f t="shared" si="50"/>
        <v>2038</v>
      </c>
      <c r="P63" s="101">
        <f t="shared" si="50"/>
        <v>2039</v>
      </c>
      <c r="Q63" s="101">
        <f t="shared" si="50"/>
        <v>2040</v>
      </c>
      <c r="R63" s="101">
        <f t="shared" si="50"/>
        <v>2041</v>
      </c>
      <c r="S63" s="101">
        <f t="shared" si="50"/>
        <v>2042</v>
      </c>
      <c r="T63" s="101">
        <f t="shared" si="50"/>
        <v>2043</v>
      </c>
      <c r="U63" s="101">
        <f t="shared" si="50"/>
        <v>2044</v>
      </c>
      <c r="V63" s="101">
        <f t="shared" si="50"/>
        <v>2045</v>
      </c>
      <c r="W63" s="101">
        <f t="shared" si="50"/>
        <v>2046</v>
      </c>
      <c r="X63" s="101">
        <f t="shared" si="50"/>
        <v>2047</v>
      </c>
      <c r="Y63" s="101">
        <f t="shared" si="50"/>
        <v>2048</v>
      </c>
      <c r="Z63" s="101">
        <f t="shared" si="50"/>
        <v>2049</v>
      </c>
      <c r="AA63" s="101">
        <f t="shared" si="50"/>
        <v>2050</v>
      </c>
      <c r="AB63" s="101">
        <f t="shared" si="50"/>
        <v>2051</v>
      </c>
      <c r="AC63" s="101">
        <f t="shared" si="50"/>
        <v>2052</v>
      </c>
      <c r="AD63" s="101">
        <f t="shared" si="50"/>
        <v>2053</v>
      </c>
      <c r="AE63" s="101">
        <f t="shared" si="50"/>
        <v>2054</v>
      </c>
      <c r="AF63" s="101">
        <f t="shared" si="50"/>
        <v>2055</v>
      </c>
      <c r="AG63" s="101">
        <f t="shared" si="50"/>
        <v>2056</v>
      </c>
      <c r="AH63" s="101">
        <f t="shared" si="50"/>
        <v>2057</v>
      </c>
      <c r="AI63" s="101">
        <f t="shared" si="50"/>
        <v>2058</v>
      </c>
      <c r="AJ63" s="101">
        <f t="shared" si="50"/>
        <v>2059</v>
      </c>
      <c r="AK63" s="101">
        <f t="shared" si="50"/>
        <v>2060</v>
      </c>
      <c r="AL63" s="101">
        <f t="shared" si="50"/>
        <v>2061</v>
      </c>
      <c r="AM63" s="101">
        <f t="shared" si="50"/>
        <v>2062</v>
      </c>
      <c r="AN63" s="101">
        <f t="shared" si="50"/>
        <v>2063</v>
      </c>
      <c r="AO63" s="101">
        <f t="shared" si="50"/>
        <v>2064</v>
      </c>
      <c r="AP63" s="101">
        <f t="shared" si="50"/>
        <v>2065</v>
      </c>
      <c r="AQ63" s="101">
        <f t="shared" si="50"/>
        <v>2066</v>
      </c>
      <c r="AR63" s="101">
        <f t="shared" si="50"/>
        <v>2067</v>
      </c>
      <c r="AS63" s="101">
        <f t="shared" si="50"/>
        <v>2068</v>
      </c>
      <c r="AT63" s="101">
        <f t="shared" si="50"/>
        <v>2069</v>
      </c>
      <c r="AU63" s="101">
        <f t="shared" si="50"/>
        <v>2070</v>
      </c>
      <c r="AV63" s="101">
        <f t="shared" si="50"/>
        <v>2071</v>
      </c>
      <c r="AW63" s="101">
        <f t="shared" si="50"/>
        <v>2072</v>
      </c>
      <c r="AX63" s="101">
        <f t="shared" si="50"/>
        <v>2073</v>
      </c>
      <c r="AY63" s="101">
        <f t="shared" si="50"/>
        <v>2074</v>
      </c>
      <c r="AZ63" s="101">
        <f t="shared" si="50"/>
        <v>2075</v>
      </c>
      <c r="BA63" s="101">
        <f t="shared" si="50"/>
        <v>2076</v>
      </c>
      <c r="BB63" s="101">
        <f t="shared" si="50"/>
        <v>2077</v>
      </c>
      <c r="BC63" s="101">
        <f t="shared" si="50"/>
        <v>2078</v>
      </c>
      <c r="BD63" s="101">
        <f t="shared" si="50"/>
        <v>2079</v>
      </c>
      <c r="BE63" s="101">
        <f t="shared" si="50"/>
        <v>2080</v>
      </c>
      <c r="BF63" s="101">
        <f t="shared" si="50"/>
        <v>2081</v>
      </c>
      <c r="BG63" s="101">
        <f t="shared" si="50"/>
        <v>2082</v>
      </c>
      <c r="BH63" s="101">
        <f t="shared" si="50"/>
        <v>2083</v>
      </c>
      <c r="BI63" s="101">
        <f t="shared" si="50"/>
        <v>2084</v>
      </c>
      <c r="BJ63" s="101">
        <f t="shared" si="50"/>
        <v>2085</v>
      </c>
      <c r="BK63" s="101">
        <f t="shared" si="50"/>
        <v>2086</v>
      </c>
    </row>
    <row r="64" spans="2:65">
      <c r="B64" t="s">
        <v>800</v>
      </c>
      <c r="C64" s="46">
        <f>IF(C62&lt;=SAP!$C$212,SAP!$D$212,IF(C62&lt;=SAP!$C$213,SAP!$D$213,SAP!$D$214))</f>
        <v>3.5000000000000003E-2</v>
      </c>
      <c r="D64" s="46">
        <f>IF(D62&lt;=SAP!$C$212,SAP!$D$212,IF(D62&lt;=SAP!$C$213,SAP!$D$213,SAP!$D$214))</f>
        <v>3.5000000000000003E-2</v>
      </c>
      <c r="E64" s="46">
        <f>IF(E62&lt;=SAP!$C$212,SAP!$D$212,IF(E62&lt;=SAP!$C$213,SAP!$D$213,SAP!$D$214))</f>
        <v>3.5000000000000003E-2</v>
      </c>
      <c r="F64" s="46">
        <f>IF(F62&lt;=SAP!$C$212,SAP!$D$212,IF(F62&lt;=SAP!$C$213,SAP!$D$213,SAP!$D$214))</f>
        <v>3.5000000000000003E-2</v>
      </c>
      <c r="G64" s="46">
        <f>IF(G62&lt;=SAP!$C$212,SAP!$D$212,IF(G62&lt;=SAP!$C$213,SAP!$D$213,SAP!$D$214))</f>
        <v>3.5000000000000003E-2</v>
      </c>
      <c r="H64" s="46">
        <f>IF(H62&lt;=SAP!$C$212,SAP!$D$212,IF(H62&lt;=SAP!$C$213,SAP!$D$213,SAP!$D$214))</f>
        <v>3.5000000000000003E-2</v>
      </c>
      <c r="I64" s="46">
        <f>IF(I62&lt;=SAP!$C$212,SAP!$D$212,IF(I62&lt;=SAP!$C$213,SAP!$D$213,SAP!$D$214))</f>
        <v>3.5000000000000003E-2</v>
      </c>
      <c r="J64" s="46">
        <f>IF(J62&lt;=SAP!$C$212,SAP!$D$212,IF(J62&lt;=SAP!$C$213,SAP!$D$213,SAP!$D$214))</f>
        <v>3.5000000000000003E-2</v>
      </c>
      <c r="K64" s="46">
        <f>IF(K62&lt;=SAP!$C$212,SAP!$D$212,IF(K62&lt;=SAP!$C$213,SAP!$D$213,SAP!$D$214))</f>
        <v>3.5000000000000003E-2</v>
      </c>
      <c r="L64" s="46">
        <f>IF(L62&lt;=SAP!$C$212,SAP!$D$212,IF(L62&lt;=SAP!$C$213,SAP!$D$213,SAP!$D$214))</f>
        <v>3.5000000000000003E-2</v>
      </c>
      <c r="M64" s="46">
        <f>IF(M62&lt;=SAP!$C$212,SAP!$D$212,IF(M62&lt;=SAP!$C$213,SAP!$D$213,SAP!$D$214))</f>
        <v>3.5000000000000003E-2</v>
      </c>
      <c r="N64" s="46">
        <f>IF(N62&lt;=SAP!$C$212,SAP!$D$212,IF(N62&lt;=SAP!$C$213,SAP!$D$213,SAP!$D$214))</f>
        <v>3.5000000000000003E-2</v>
      </c>
      <c r="O64" s="46">
        <f>IF(O62&lt;=SAP!$C$212,SAP!$D$212,IF(O62&lt;=SAP!$C$213,SAP!$D$213,SAP!$D$214))</f>
        <v>3.5000000000000003E-2</v>
      </c>
      <c r="P64" s="46">
        <f>IF(P62&lt;=SAP!$C$212,SAP!$D$212,IF(P62&lt;=SAP!$C$213,SAP!$D$213,SAP!$D$214))</f>
        <v>3.5000000000000003E-2</v>
      </c>
      <c r="Q64" s="46">
        <f>IF(Q62&lt;=SAP!$C$212,SAP!$D$212,IF(Q62&lt;=SAP!$C$213,SAP!$D$213,SAP!$D$214))</f>
        <v>3.5000000000000003E-2</v>
      </c>
      <c r="R64" s="46">
        <f>IF(R62&lt;=SAP!$C$212,SAP!$D$212,IF(R62&lt;=SAP!$C$213,SAP!$D$213,SAP!$D$214))</f>
        <v>3.5000000000000003E-2</v>
      </c>
      <c r="S64" s="46">
        <f>IF(S62&lt;=SAP!$C$212,SAP!$D$212,IF(S62&lt;=SAP!$C$213,SAP!$D$213,SAP!$D$214))</f>
        <v>3.5000000000000003E-2</v>
      </c>
      <c r="T64" s="46">
        <f>IF(T62&lt;=SAP!$C$212,SAP!$D$212,IF(T62&lt;=SAP!$C$213,SAP!$D$213,SAP!$D$214))</f>
        <v>3.5000000000000003E-2</v>
      </c>
      <c r="U64" s="46">
        <f>IF(U62&lt;=SAP!$C$212,SAP!$D$212,IF(U62&lt;=SAP!$C$213,SAP!$D$213,SAP!$D$214))</f>
        <v>3.5000000000000003E-2</v>
      </c>
      <c r="V64" s="46">
        <f>IF(V62&lt;=SAP!$C$212,SAP!$D$212,IF(V62&lt;=SAP!$C$213,SAP!$D$213,SAP!$D$214))</f>
        <v>3.5000000000000003E-2</v>
      </c>
      <c r="W64" s="46">
        <f>IF(W62&lt;=SAP!$C$212,SAP!$D$212,IF(W62&lt;=SAP!$C$213,SAP!$D$213,SAP!$D$214))</f>
        <v>3.5000000000000003E-2</v>
      </c>
      <c r="X64" s="46">
        <f>IF(X62&lt;=SAP!$C$212,SAP!$D$212,IF(X62&lt;=SAP!$C$213,SAP!$D$213,SAP!$D$214))</f>
        <v>3.5000000000000003E-2</v>
      </c>
      <c r="Y64" s="46">
        <f>IF(Y62&lt;=SAP!$C$212,SAP!$D$212,IF(Y62&lt;=SAP!$C$213,SAP!$D$213,SAP!$D$214))</f>
        <v>3.5000000000000003E-2</v>
      </c>
      <c r="Z64" s="46">
        <f>IF(Z62&lt;=SAP!$C$212,SAP!$D$212,IF(Z62&lt;=SAP!$C$213,SAP!$D$213,SAP!$D$214))</f>
        <v>3.5000000000000003E-2</v>
      </c>
      <c r="AA64" s="46">
        <f>IF(AA62&lt;=SAP!$C$212,SAP!$D$212,IF(AA62&lt;=SAP!$C$213,SAP!$D$213,SAP!$D$214))</f>
        <v>3.5000000000000003E-2</v>
      </c>
      <c r="AB64" s="46">
        <f>IF(AB62&lt;=SAP!$C$212,SAP!$D$212,IF(AB62&lt;=SAP!$C$213,SAP!$D$213,SAP!$D$214))</f>
        <v>3.5000000000000003E-2</v>
      </c>
      <c r="AC64" s="46">
        <f>IF(AC62&lt;=SAP!$C$212,SAP!$D$212,IF(AC62&lt;=SAP!$C$213,SAP!$D$213,SAP!$D$214))</f>
        <v>3.5000000000000003E-2</v>
      </c>
      <c r="AD64" s="46">
        <f>IF(AD62&lt;=SAP!$C$212,SAP!$D$212,IF(AD62&lt;=SAP!$C$213,SAP!$D$213,SAP!$D$214))</f>
        <v>3.5000000000000003E-2</v>
      </c>
      <c r="AE64" s="46">
        <f>IF(AE62&lt;=SAP!$C$212,SAP!$D$212,IF(AE62&lt;=SAP!$C$213,SAP!$D$213,SAP!$D$214))</f>
        <v>3.5000000000000003E-2</v>
      </c>
      <c r="AF64" s="46">
        <f>IF(AF62&lt;=SAP!$C$212,SAP!$D$212,IF(AF62&lt;=SAP!$C$213,SAP!$D$213,SAP!$D$214))</f>
        <v>3.5000000000000003E-2</v>
      </c>
      <c r="AG64" s="46">
        <f>IF(AG62&lt;=SAP!$C$212,SAP!$D$212,IF(AG62&lt;=SAP!$C$213,SAP!$D$213,SAP!$D$214))</f>
        <v>3.5000000000000003E-2</v>
      </c>
      <c r="AH64" s="46">
        <f>IF(AH62&lt;=SAP!$C$212,SAP!$D$212,IF(AH62&lt;=SAP!$C$213,SAP!$D$213,SAP!$D$214))</f>
        <v>0.03</v>
      </c>
      <c r="AI64" s="46">
        <f>IF(AI62&lt;=SAP!$C$212,SAP!$D$212,IF(AI62&lt;=SAP!$C$213,SAP!$D$213,SAP!$D$214))</f>
        <v>0.03</v>
      </c>
      <c r="AJ64" s="46">
        <f>IF(AJ62&lt;=SAP!$C$212,SAP!$D$212,IF(AJ62&lt;=SAP!$C$213,SAP!$D$213,SAP!$D$214))</f>
        <v>0.03</v>
      </c>
      <c r="AK64" s="46">
        <f>IF(AK62&lt;=SAP!$C$212,SAP!$D$212,IF(AK62&lt;=SAP!$C$213,SAP!$D$213,SAP!$D$214))</f>
        <v>0.03</v>
      </c>
      <c r="AL64" s="46">
        <f>IF(AL62&lt;=SAP!$C$212,SAP!$D$212,IF(AL62&lt;=SAP!$C$213,SAP!$D$213,SAP!$D$214))</f>
        <v>0.03</v>
      </c>
      <c r="AM64" s="46">
        <f>IF(AM62&lt;=SAP!$C$212,SAP!$D$212,IF(AM62&lt;=SAP!$C$213,SAP!$D$213,SAP!$D$214))</f>
        <v>0.03</v>
      </c>
      <c r="AN64" s="46">
        <f>IF(AN62&lt;=SAP!$C$212,SAP!$D$212,IF(AN62&lt;=SAP!$C$213,SAP!$D$213,SAP!$D$214))</f>
        <v>0.03</v>
      </c>
      <c r="AO64" s="46">
        <f>IF(AO62&lt;=SAP!$C$212,SAP!$D$212,IF(AO62&lt;=SAP!$C$213,SAP!$D$213,SAP!$D$214))</f>
        <v>0.03</v>
      </c>
      <c r="AP64" s="46">
        <f>IF(AP62&lt;=SAP!$C$212,SAP!$D$212,IF(AP62&lt;=SAP!$C$213,SAP!$D$213,SAP!$D$214))</f>
        <v>0.03</v>
      </c>
      <c r="AQ64" s="46">
        <f>IF(AQ62&lt;=SAP!$C$212,SAP!$D$212,IF(AQ62&lt;=SAP!$C$213,SAP!$D$213,SAP!$D$214))</f>
        <v>0.03</v>
      </c>
      <c r="AR64" s="46">
        <f>IF(AR62&lt;=SAP!$C$212,SAP!$D$212,IF(AR62&lt;=SAP!$C$213,SAP!$D$213,SAP!$D$214))</f>
        <v>0.03</v>
      </c>
      <c r="AS64" s="46">
        <f>IF(AS62&lt;=SAP!$C$212,SAP!$D$212,IF(AS62&lt;=SAP!$C$213,SAP!$D$213,SAP!$D$214))</f>
        <v>0.03</v>
      </c>
      <c r="AT64" s="46">
        <f>IF(AT62&lt;=SAP!$C$212,SAP!$D$212,IF(AT62&lt;=SAP!$C$213,SAP!$D$213,SAP!$D$214))</f>
        <v>0.03</v>
      </c>
      <c r="AU64" s="46">
        <f>IF(AU62&lt;=SAP!$C$212,SAP!$D$212,IF(AU62&lt;=SAP!$C$213,SAP!$D$213,SAP!$D$214))</f>
        <v>0.03</v>
      </c>
      <c r="AV64" s="46">
        <f>IF(AV62&lt;=SAP!$C$212,SAP!$D$212,IF(AV62&lt;=SAP!$C$213,SAP!$D$213,SAP!$D$214))</f>
        <v>0.03</v>
      </c>
      <c r="AW64" s="46">
        <f>IF(AW62&lt;=SAP!$C$212,SAP!$D$212,IF(AW62&lt;=SAP!$C$213,SAP!$D$213,SAP!$D$214))</f>
        <v>0.03</v>
      </c>
      <c r="AX64" s="46">
        <f>IF(AX62&lt;=SAP!$C$212,SAP!$D$212,IF(AX62&lt;=SAP!$C$213,SAP!$D$213,SAP!$D$214))</f>
        <v>0.03</v>
      </c>
      <c r="AY64" s="46">
        <f>IF(AY62&lt;=SAP!$C$212,SAP!$D$212,IF(AY62&lt;=SAP!$C$213,SAP!$D$213,SAP!$D$214))</f>
        <v>0.03</v>
      </c>
      <c r="AZ64" s="46">
        <f>IF(AZ62&lt;=SAP!$C$212,SAP!$D$212,IF(AZ62&lt;=SAP!$C$213,SAP!$D$213,SAP!$D$214))</f>
        <v>0.03</v>
      </c>
      <c r="BA64" s="46">
        <f>IF(BA62&lt;=SAP!$C$212,SAP!$D$212,IF(BA62&lt;=SAP!$C$213,SAP!$D$213,SAP!$D$214))</f>
        <v>0.03</v>
      </c>
      <c r="BB64" s="46">
        <f>IF(BB62&lt;=SAP!$C$212,SAP!$D$212,IF(BB62&lt;=SAP!$C$213,SAP!$D$213,SAP!$D$214))</f>
        <v>0.03</v>
      </c>
      <c r="BC64" s="46">
        <f>IF(BC62&lt;=SAP!$C$212,SAP!$D$212,IF(BC62&lt;=SAP!$C$213,SAP!$D$213,SAP!$D$214))</f>
        <v>0.03</v>
      </c>
      <c r="BD64" s="46">
        <f>IF(BD62&lt;=SAP!$C$212,SAP!$D$212,IF(BD62&lt;=SAP!$C$213,SAP!$D$213,SAP!$D$214))</f>
        <v>0.03</v>
      </c>
      <c r="BE64" s="46">
        <f>IF(BE62&lt;=SAP!$C$212,SAP!$D$212,IF(BE62&lt;=SAP!$C$213,SAP!$D$213,SAP!$D$214))</f>
        <v>0.03</v>
      </c>
      <c r="BF64" s="46">
        <f>IF(BF62&lt;=SAP!$C$212,SAP!$D$212,IF(BF62&lt;=SAP!$C$213,SAP!$D$213,SAP!$D$214))</f>
        <v>0.03</v>
      </c>
      <c r="BG64" s="46">
        <f>IF(BG62&lt;=SAP!$C$212,SAP!$D$212,IF(BG62&lt;=SAP!$C$213,SAP!$D$213,SAP!$D$214))</f>
        <v>0.03</v>
      </c>
      <c r="BH64" s="46">
        <f>IF(BH62&lt;=SAP!$C$212,SAP!$D$212,IF(BH62&lt;=SAP!$C$213,SAP!$D$213,SAP!$D$214))</f>
        <v>0.03</v>
      </c>
      <c r="BI64" s="46">
        <f>IF(BI62&lt;=SAP!$C$212,SAP!$D$212,IF(BI62&lt;=SAP!$C$213,SAP!$D$213,SAP!$D$214))</f>
        <v>0.03</v>
      </c>
      <c r="BJ64" s="46">
        <f>IF(BJ62&lt;=SAP!$C$212,SAP!$D$212,IF(BJ62&lt;=SAP!$C$213,SAP!$D$213,SAP!$D$214))</f>
        <v>0.03</v>
      </c>
      <c r="BK64" s="46">
        <f>IF(BK62&lt;=SAP!$C$212,SAP!$D$212,IF(BK62&lt;=SAP!$C$213,SAP!$D$213,SAP!$D$214))</f>
        <v>0.03</v>
      </c>
    </row>
    <row r="65" spans="2:64">
      <c r="B65" t="s">
        <v>801</v>
      </c>
      <c r="C65" s="66">
        <f>1/(1+C64)^C62</f>
        <v>1</v>
      </c>
      <c r="D65" s="66">
        <f>C65*1/(1+D64)</f>
        <v>0.96618357487922713</v>
      </c>
      <c r="E65" s="66">
        <f t="shared" ref="E65:BK65" si="51">D65*1/(1+E64)</f>
        <v>0.93351070036640305</v>
      </c>
      <c r="F65" s="66">
        <f t="shared" si="51"/>
        <v>0.90194270566802237</v>
      </c>
      <c r="G65" s="66">
        <f t="shared" si="51"/>
        <v>0.87144222769857238</v>
      </c>
      <c r="H65" s="66">
        <f t="shared" si="51"/>
        <v>0.84197316685852408</v>
      </c>
      <c r="I65" s="66">
        <f t="shared" si="51"/>
        <v>0.81350064430775282</v>
      </c>
      <c r="J65" s="66">
        <f t="shared" si="51"/>
        <v>0.78599096068381924</v>
      </c>
      <c r="K65" s="66">
        <f t="shared" si="51"/>
        <v>0.75941155621625056</v>
      </c>
      <c r="L65" s="66">
        <f t="shared" si="51"/>
        <v>0.73373097218961414</v>
      </c>
      <c r="M65" s="66">
        <f t="shared" si="51"/>
        <v>0.70891881370977217</v>
      </c>
      <c r="N65" s="66">
        <f t="shared" si="51"/>
        <v>0.68494571372924851</v>
      </c>
      <c r="O65" s="66">
        <f t="shared" si="51"/>
        <v>0.66178329828912907</v>
      </c>
      <c r="P65" s="66">
        <f t="shared" si="51"/>
        <v>0.63940415293635666</v>
      </c>
      <c r="Q65" s="66">
        <f t="shared" si="51"/>
        <v>0.61778179027667313</v>
      </c>
      <c r="R65" s="66">
        <f t="shared" si="51"/>
        <v>0.59689061862480497</v>
      </c>
      <c r="S65" s="66">
        <f t="shared" si="51"/>
        <v>0.57670591171478747</v>
      </c>
      <c r="T65" s="66">
        <f t="shared" si="51"/>
        <v>0.55720377943457733</v>
      </c>
      <c r="U65" s="66">
        <f t="shared" si="51"/>
        <v>0.53836113955031628</v>
      </c>
      <c r="V65" s="66">
        <f t="shared" si="51"/>
        <v>0.520155690386779</v>
      </c>
      <c r="W65" s="66">
        <f t="shared" si="51"/>
        <v>0.50256588443167061</v>
      </c>
      <c r="X65" s="66">
        <f t="shared" si="51"/>
        <v>0.48557090283253201</v>
      </c>
      <c r="Y65" s="66">
        <f t="shared" si="51"/>
        <v>0.46915063075606961</v>
      </c>
      <c r="Z65" s="66">
        <f t="shared" si="51"/>
        <v>0.45328563358074364</v>
      </c>
      <c r="AA65" s="66">
        <f t="shared" si="51"/>
        <v>0.43795713389443836</v>
      </c>
      <c r="AB65" s="66">
        <f t="shared" si="51"/>
        <v>0.42314698926998878</v>
      </c>
      <c r="AC65" s="66">
        <f t="shared" si="51"/>
        <v>0.40883767079225974</v>
      </c>
      <c r="AD65" s="66">
        <f t="shared" si="51"/>
        <v>0.39501224231136212</v>
      </c>
      <c r="AE65" s="66">
        <f t="shared" si="51"/>
        <v>0.38165434039745133</v>
      </c>
      <c r="AF65" s="66">
        <f t="shared" si="51"/>
        <v>0.36874815497338298</v>
      </c>
      <c r="AG65" s="66">
        <f t="shared" si="51"/>
        <v>0.35627841060230242</v>
      </c>
      <c r="AH65" s="66">
        <f t="shared" si="51"/>
        <v>0.34590136951679845</v>
      </c>
      <c r="AI65" s="66">
        <f t="shared" si="51"/>
        <v>0.33582657234640628</v>
      </c>
      <c r="AJ65" s="66">
        <f t="shared" si="51"/>
        <v>0.32604521587029733</v>
      </c>
      <c r="AK65" s="66">
        <f t="shared" si="51"/>
        <v>0.31654875327213333</v>
      </c>
      <c r="AL65" s="66">
        <f t="shared" si="51"/>
        <v>0.30732888667197411</v>
      </c>
      <c r="AM65" s="66">
        <f t="shared" si="51"/>
        <v>0.29837755987570302</v>
      </c>
      <c r="AN65" s="66">
        <f t="shared" si="51"/>
        <v>0.28968695133563399</v>
      </c>
      <c r="AO65" s="66">
        <f t="shared" si="51"/>
        <v>0.28124946731614953</v>
      </c>
      <c r="AP65" s="66">
        <f t="shared" si="51"/>
        <v>0.2730577352583976</v>
      </c>
      <c r="AQ65" s="66">
        <f t="shared" si="51"/>
        <v>0.26510459733825009</v>
      </c>
      <c r="AR65" s="66">
        <f t="shared" si="51"/>
        <v>0.25738310421189331</v>
      </c>
      <c r="AS65" s="66">
        <f t="shared" si="51"/>
        <v>0.24988650894358574</v>
      </c>
      <c r="AT65" s="66">
        <f t="shared" si="51"/>
        <v>0.24260826111027742</v>
      </c>
      <c r="AU65" s="66">
        <f t="shared" si="51"/>
        <v>0.23554200107793924</v>
      </c>
      <c r="AV65" s="66">
        <f t="shared" si="51"/>
        <v>0.2286815544446012</v>
      </c>
      <c r="AW65" s="66">
        <f t="shared" si="51"/>
        <v>0.22202092664524387</v>
      </c>
      <c r="AX65" s="66">
        <f t="shared" si="51"/>
        <v>0.215554297713829</v>
      </c>
      <c r="AY65" s="66">
        <f t="shared" si="51"/>
        <v>0.20927601719789224</v>
      </c>
      <c r="AZ65" s="66">
        <f t="shared" si="51"/>
        <v>0.20318059922125459</v>
      </c>
      <c r="BA65" s="66">
        <f t="shared" si="51"/>
        <v>0.19726271769053844</v>
      </c>
      <c r="BB65" s="66">
        <f t="shared" si="51"/>
        <v>0.19151720164129946</v>
      </c>
      <c r="BC65" s="66">
        <f t="shared" si="51"/>
        <v>0.18593903071970821</v>
      </c>
      <c r="BD65" s="66">
        <f t="shared" si="51"/>
        <v>0.18052333079583321</v>
      </c>
      <c r="BE65" s="66">
        <f t="shared" si="51"/>
        <v>0.17526536970469245</v>
      </c>
      <c r="BF65" s="66">
        <f t="shared" si="51"/>
        <v>0.17016055311135189</v>
      </c>
      <c r="BG65" s="66">
        <f t="shared" si="51"/>
        <v>0.16520442049645814</v>
      </c>
      <c r="BH65" s="66">
        <f t="shared" si="51"/>
        <v>0.16039264125869723</v>
      </c>
      <c r="BI65" s="66">
        <f t="shared" si="51"/>
        <v>0.15572101093077401</v>
      </c>
      <c r="BJ65" s="66">
        <f t="shared" si="51"/>
        <v>0.15118544750560584</v>
      </c>
      <c r="BK65" s="66">
        <f t="shared" si="51"/>
        <v>0.14678198786952024</v>
      </c>
    </row>
    <row r="66" spans="2:64">
      <c r="B66" t="s">
        <v>818</v>
      </c>
      <c r="C66" s="6">
        <f>HLOOKUP(C$63,SAP!$V$204:$CX$207,3,FALSE)</f>
        <v>20.106742940530978</v>
      </c>
      <c r="D66" s="6">
        <f>HLOOKUP(D$63,SAP!$V$204:$CX$207,3,FALSE)</f>
        <v>19.786987354469222</v>
      </c>
      <c r="E66" s="6">
        <f>HLOOKUP(E$63,SAP!$V$204:$CX$207,3,FALSE)</f>
        <v>19.971267387633414</v>
      </c>
      <c r="F66" s="6">
        <f>HLOOKUP(F$63,SAP!$V$204:$CX$207,3,FALSE)</f>
        <v>19.391933649377282</v>
      </c>
      <c r="G66" s="6">
        <f>HLOOKUP(G$63,SAP!$V$204:$CX$207,3,FALSE)</f>
        <v>19.946753897435709</v>
      </c>
      <c r="H66" s="6">
        <f>HLOOKUP(H$63,SAP!$V$204:$CX$207,3,FALSE)</f>
        <v>20.376991952885067</v>
      </c>
      <c r="I66" s="6">
        <f>HLOOKUP(I$63,SAP!$V$204:$CX$207,3,FALSE)</f>
        <v>20.470054240870503</v>
      </c>
      <c r="J66" s="6">
        <f>HLOOKUP(J$63,SAP!$V$204:$CX$207,3,FALSE)</f>
        <v>20.446745910290005</v>
      </c>
      <c r="K66" s="6">
        <f>HLOOKUP(K$63,SAP!$V$204:$CX$207,3,FALSE)</f>
        <v>20.615124700356745</v>
      </c>
      <c r="L66" s="6">
        <f>HLOOKUP(L$63,SAP!$V$204:$CX$207,3,FALSE)</f>
        <v>20.054029717772853</v>
      </c>
      <c r="M66" s="6">
        <f>HLOOKUP(M$63,SAP!$V$204:$CX$207,3,FALSE)</f>
        <v>20.054029717772853</v>
      </c>
      <c r="N66" s="6">
        <f>HLOOKUP(N$63,SAP!$V$204:$CX$207,3,FALSE)</f>
        <v>20.054029717772853</v>
      </c>
      <c r="O66" s="6">
        <f>HLOOKUP(O$63,SAP!$V$204:$CX$207,3,FALSE)</f>
        <v>20.054029717772853</v>
      </c>
      <c r="P66" s="6">
        <f>HLOOKUP(P$63,SAP!$V$204:$CX$207,3,FALSE)</f>
        <v>20.054029717772853</v>
      </c>
      <c r="Q66" s="6">
        <f>HLOOKUP(Q$63,SAP!$V$204:$CX$207,3,FALSE)</f>
        <v>20.054029717772853</v>
      </c>
      <c r="R66" s="6">
        <f>HLOOKUP(R$63,SAP!$V$204:$CX$207,3,FALSE)</f>
        <v>20.054029717772853</v>
      </c>
      <c r="S66" s="6">
        <f>HLOOKUP(S$63,SAP!$V$204:$CX$207,3,FALSE)</f>
        <v>20.054029717772853</v>
      </c>
      <c r="T66" s="6">
        <f>HLOOKUP(T$63,SAP!$V$204:$CX$207,3,FALSE)</f>
        <v>20.054029717772853</v>
      </c>
      <c r="U66" s="6">
        <f>HLOOKUP(U$63,SAP!$V$204:$CX$207,3,FALSE)</f>
        <v>20.054029717772853</v>
      </c>
      <c r="V66" s="6">
        <f>HLOOKUP(V$63,SAP!$V$204:$CX$207,3,FALSE)</f>
        <v>20.054029717772853</v>
      </c>
      <c r="W66" s="6">
        <f>HLOOKUP(W$63,SAP!$V$204:$CX$207,3,FALSE)</f>
        <v>20.054029717772853</v>
      </c>
      <c r="X66" s="6">
        <f>HLOOKUP(X$63,SAP!$V$204:$CX$207,3,FALSE)</f>
        <v>20.054029717772853</v>
      </c>
      <c r="Y66" s="6">
        <f>HLOOKUP(Y$63,SAP!$V$204:$CX$207,3,FALSE)</f>
        <v>20.054029717772853</v>
      </c>
      <c r="Z66" s="6">
        <f>HLOOKUP(Z$63,SAP!$V$204:$CX$207,3,FALSE)</f>
        <v>20.054029717772853</v>
      </c>
      <c r="AA66" s="6">
        <f>HLOOKUP(AA$63,SAP!$V$204:$CX$207,3,FALSE)</f>
        <v>20.054029717772853</v>
      </c>
      <c r="AB66" s="6">
        <f>HLOOKUP(AB$63,SAP!$V$204:$CX$207,3,FALSE)</f>
        <v>20.054029717772853</v>
      </c>
      <c r="AC66" s="6">
        <f>HLOOKUP(AC$63,SAP!$V$204:$CX$207,3,FALSE)</f>
        <v>20.054029717772853</v>
      </c>
      <c r="AD66" s="6">
        <f>HLOOKUP(AD$63,SAP!$V$204:$CX$207,3,FALSE)</f>
        <v>20.054029717772853</v>
      </c>
      <c r="AE66" s="6">
        <f>HLOOKUP(AE$63,SAP!$V$204:$CX$207,3,FALSE)</f>
        <v>20.054029717772853</v>
      </c>
      <c r="AF66" s="6">
        <f>HLOOKUP(AF$63,SAP!$V$204:$CX$207,3,FALSE)</f>
        <v>20.054029717772853</v>
      </c>
      <c r="AG66" s="6">
        <f>HLOOKUP(AG$63,SAP!$V$204:$CX$207,3,FALSE)</f>
        <v>20.054029717772853</v>
      </c>
      <c r="AH66" s="6">
        <f>HLOOKUP(AH$63,SAP!$V$204:$CX$207,3,FALSE)</f>
        <v>20.054029717772853</v>
      </c>
      <c r="AI66" s="6">
        <f>HLOOKUP(AI$63,SAP!$V$204:$CX$207,3,FALSE)</f>
        <v>20.054029717772853</v>
      </c>
      <c r="AJ66" s="6">
        <f>HLOOKUP(AJ$63,SAP!$V$204:$CX$207,3,FALSE)</f>
        <v>20.054029717772853</v>
      </c>
      <c r="AK66" s="6">
        <f>HLOOKUP(AK$63,SAP!$V$204:$CX$207,3,FALSE)</f>
        <v>20.054029717772853</v>
      </c>
      <c r="AL66" s="6">
        <f>HLOOKUP(AL$63,SAP!$V$204:$CX$207,3,FALSE)</f>
        <v>20.054029717772853</v>
      </c>
      <c r="AM66" s="6">
        <f>HLOOKUP(AM$63,SAP!$V$204:$CX$207,3,FALSE)</f>
        <v>20.054029717772853</v>
      </c>
      <c r="AN66" s="6">
        <f>HLOOKUP(AN$63,SAP!$V$204:$CX$207,3,FALSE)</f>
        <v>20.054029717772853</v>
      </c>
      <c r="AO66" s="6">
        <f>HLOOKUP(AO$63,SAP!$V$204:$CX$207,3,FALSE)</f>
        <v>20.054029717772853</v>
      </c>
      <c r="AP66" s="6">
        <f>HLOOKUP(AP$63,SAP!$V$204:$CX$207,3,FALSE)</f>
        <v>20.054029717772853</v>
      </c>
      <c r="AQ66" s="6">
        <f>HLOOKUP(AQ$63,SAP!$V$204:$CX$207,3,FALSE)</f>
        <v>20.054029717772853</v>
      </c>
      <c r="AR66" s="6">
        <f>HLOOKUP(AR$63,SAP!$V$204:$CX$207,3,FALSE)</f>
        <v>20.054029717772853</v>
      </c>
      <c r="AS66" s="6">
        <f>HLOOKUP(AS$63,SAP!$V$204:$CX$207,3,FALSE)</f>
        <v>20.054029717772853</v>
      </c>
      <c r="AT66" s="6">
        <f>HLOOKUP(AT$63,SAP!$V$204:$CX$207,3,FALSE)</f>
        <v>20.054029717772853</v>
      </c>
      <c r="AU66" s="6">
        <f>HLOOKUP(AU$63,SAP!$V$204:$CX$207,3,FALSE)</f>
        <v>20.054029717772853</v>
      </c>
      <c r="AV66" s="6">
        <f>HLOOKUP(AV$63,SAP!$V$204:$CX$207,3,FALSE)</f>
        <v>20.054029717772853</v>
      </c>
      <c r="AW66" s="6">
        <f>HLOOKUP(AW$63,SAP!$V$204:$CX$207,3,FALSE)</f>
        <v>20.054029717772853</v>
      </c>
      <c r="AX66" s="6">
        <f>HLOOKUP(AX$63,SAP!$V$204:$CX$207,3,FALSE)</f>
        <v>20.054029717772853</v>
      </c>
      <c r="AY66" s="6">
        <f>HLOOKUP(AY$63,SAP!$V$204:$CX$207,3,FALSE)</f>
        <v>20.054029717772853</v>
      </c>
      <c r="AZ66" s="6">
        <f>HLOOKUP(AZ$63,SAP!$V$204:$CX$207,3,FALSE)</f>
        <v>20.054029717772853</v>
      </c>
      <c r="BA66" s="6">
        <f>HLOOKUP(BA$63,SAP!$V$204:$CX$207,3,FALSE)</f>
        <v>20.054029717772853</v>
      </c>
      <c r="BB66" s="6">
        <f>HLOOKUP(BB$63,SAP!$V$204:$CX$207,3,FALSE)</f>
        <v>20.054029717772853</v>
      </c>
      <c r="BC66" s="6">
        <f>HLOOKUP(BC$63,SAP!$V$204:$CX$207,3,FALSE)</f>
        <v>20.054029717772853</v>
      </c>
      <c r="BD66" s="6">
        <f>HLOOKUP(BD$63,SAP!$V$204:$CX$207,3,FALSE)</f>
        <v>20.054029717772853</v>
      </c>
      <c r="BE66" s="6">
        <f>HLOOKUP(BE$63,SAP!$V$204:$CX$207,3,FALSE)</f>
        <v>20.054029717772853</v>
      </c>
      <c r="BF66" s="6">
        <f>HLOOKUP(BF$63,SAP!$V$204:$CX$207,3,FALSE)</f>
        <v>20.054029717772853</v>
      </c>
      <c r="BG66" s="6">
        <f>HLOOKUP(BG$63,SAP!$V$204:$CX$207,3,FALSE)</f>
        <v>20.054029717772853</v>
      </c>
      <c r="BH66" s="6">
        <f>HLOOKUP(BH$63,SAP!$V$204:$CX$207,3,FALSE)</f>
        <v>20.054029717772853</v>
      </c>
      <c r="BI66" s="6">
        <f>HLOOKUP(BI$63,SAP!$V$204:$CX$207,3,FALSE)</f>
        <v>20.054029717772853</v>
      </c>
      <c r="BJ66" s="6">
        <f>HLOOKUP(BJ$63,SAP!$V$204:$CX$207,3,FALSE)</f>
        <v>20.054029717772853</v>
      </c>
      <c r="BK66" s="6">
        <f>HLOOKUP(BK$63,SAP!$V$204:$CX$207,3,FALSE)</f>
        <v>20.054029717772853</v>
      </c>
    </row>
    <row r="67" spans="2:64">
      <c r="B67" t="s">
        <v>819</v>
      </c>
      <c r="C67" s="6">
        <f>HLOOKUP(C$63,SAP!$V$204:$CX$207,4,FALSE)</f>
        <v>4.8299246244447689</v>
      </c>
      <c r="D67" s="6">
        <f>HLOOKUP(D$63,SAP!$V$204:$CX$207,4,FALSE)</f>
        <v>4.8691915463510735</v>
      </c>
      <c r="E67" s="6">
        <f>HLOOKUP(E$63,SAP!$V$204:$CX$207,4,FALSE)</f>
        <v>4.9201849862816083</v>
      </c>
      <c r="F67" s="6">
        <f>HLOOKUP(F$63,SAP!$V$204:$CX$207,4,FALSE)</f>
        <v>4.9523934525586197</v>
      </c>
      <c r="G67" s="6">
        <f>HLOOKUP(G$63,SAP!$V$204:$CX$207,4,FALSE)</f>
        <v>5.035949186751143</v>
      </c>
      <c r="H67" s="6">
        <f>HLOOKUP(H$63,SAP!$V$204:$CX$207,4,FALSE)</f>
        <v>5.0776286712487551</v>
      </c>
      <c r="I67" s="6">
        <f>HLOOKUP(I$63,SAP!$V$204:$CX$207,4,FALSE)</f>
        <v>5.0776286712487551</v>
      </c>
      <c r="J67" s="6">
        <f>HLOOKUP(J$63,SAP!$V$204:$CX$207,4,FALSE)</f>
        <v>5.0776286712487551</v>
      </c>
      <c r="K67" s="6">
        <f>HLOOKUP(K$63,SAP!$V$204:$CX$207,4,FALSE)</f>
        <v>5.0776286712487551</v>
      </c>
      <c r="L67" s="6">
        <f>HLOOKUP(L$63,SAP!$V$204:$CX$207,4,FALSE)</f>
        <v>5.0776286712487551</v>
      </c>
      <c r="M67" s="6">
        <f>HLOOKUP(M$63,SAP!$V$204:$CX$207,4,FALSE)</f>
        <v>5.0776286712487551</v>
      </c>
      <c r="N67" s="6">
        <f>HLOOKUP(N$63,SAP!$V$204:$CX$207,4,FALSE)</f>
        <v>5.0776286712487551</v>
      </c>
      <c r="O67" s="6">
        <f>HLOOKUP(O$63,SAP!$V$204:$CX$207,4,FALSE)</f>
        <v>5.0776286712487551</v>
      </c>
      <c r="P67" s="6">
        <f>HLOOKUP(P$63,SAP!$V$204:$CX$207,4,FALSE)</f>
        <v>5.0776286712487551</v>
      </c>
      <c r="Q67" s="6">
        <f>HLOOKUP(Q$63,SAP!$V$204:$CX$207,4,FALSE)</f>
        <v>5.0776286712487551</v>
      </c>
      <c r="R67" s="6">
        <f>HLOOKUP(R$63,SAP!$V$204:$CX$207,4,FALSE)</f>
        <v>5.0776286712487551</v>
      </c>
      <c r="S67" s="6">
        <f>HLOOKUP(S$63,SAP!$V$204:$CX$207,4,FALSE)</f>
        <v>5.0776286712487551</v>
      </c>
      <c r="T67" s="6">
        <f>HLOOKUP(T$63,SAP!$V$204:$CX$207,4,FALSE)</f>
        <v>5.0776286712487551</v>
      </c>
      <c r="U67" s="6">
        <f>HLOOKUP(U$63,SAP!$V$204:$CX$207,4,FALSE)</f>
        <v>5.0776286712487551</v>
      </c>
      <c r="V67" s="6">
        <f>HLOOKUP(V$63,SAP!$V$204:$CX$207,4,FALSE)</f>
        <v>5.0776286712487551</v>
      </c>
      <c r="W67" s="6">
        <f>HLOOKUP(W$63,SAP!$V$204:$CX$207,4,FALSE)</f>
        <v>5.0776286712487551</v>
      </c>
      <c r="X67" s="6">
        <f>HLOOKUP(X$63,SAP!$V$204:$CX$207,4,FALSE)</f>
        <v>5.0776286712487551</v>
      </c>
      <c r="Y67" s="6">
        <f>HLOOKUP(Y$63,SAP!$V$204:$CX$207,4,FALSE)</f>
        <v>5.0776286712487551</v>
      </c>
      <c r="Z67" s="6">
        <f>HLOOKUP(Z$63,SAP!$V$204:$CX$207,4,FALSE)</f>
        <v>5.0776286712487551</v>
      </c>
      <c r="AA67" s="6">
        <f>HLOOKUP(AA$63,SAP!$V$204:$CX$207,4,FALSE)</f>
        <v>5.0776286712487551</v>
      </c>
      <c r="AB67" s="6">
        <f>HLOOKUP(AB$63,SAP!$V$204:$CX$207,4,FALSE)</f>
        <v>5.0776286712487551</v>
      </c>
      <c r="AC67" s="6">
        <f>HLOOKUP(AC$63,SAP!$V$204:$CX$207,4,FALSE)</f>
        <v>5.0776286712487551</v>
      </c>
      <c r="AD67" s="6">
        <f>HLOOKUP(AD$63,SAP!$V$204:$CX$207,4,FALSE)</f>
        <v>5.0776286712487551</v>
      </c>
      <c r="AE67" s="6">
        <f>HLOOKUP(AE$63,SAP!$V$204:$CX$207,4,FALSE)</f>
        <v>5.0776286712487551</v>
      </c>
      <c r="AF67" s="6">
        <f>HLOOKUP(AF$63,SAP!$V$204:$CX$207,4,FALSE)</f>
        <v>5.0776286712487551</v>
      </c>
      <c r="AG67" s="6">
        <f>HLOOKUP(AG$63,SAP!$V$204:$CX$207,4,FALSE)</f>
        <v>5.0776286712487551</v>
      </c>
      <c r="AH67" s="6">
        <f>HLOOKUP(AH$63,SAP!$V$204:$CX$207,4,FALSE)</f>
        <v>5.0776286712487551</v>
      </c>
      <c r="AI67" s="6">
        <f>HLOOKUP(AI$63,SAP!$V$204:$CX$207,4,FALSE)</f>
        <v>5.0776286712487551</v>
      </c>
      <c r="AJ67" s="6">
        <f>HLOOKUP(AJ$63,SAP!$V$204:$CX$207,4,FALSE)</f>
        <v>5.0776286712487551</v>
      </c>
      <c r="AK67" s="6">
        <f>HLOOKUP(AK$63,SAP!$V$204:$CX$207,4,FALSE)</f>
        <v>5.0776286712487551</v>
      </c>
      <c r="AL67" s="6">
        <f>HLOOKUP(AL$63,SAP!$V$204:$CX$207,4,FALSE)</f>
        <v>5.0776286712487551</v>
      </c>
      <c r="AM67" s="6">
        <f>HLOOKUP(AM$63,SAP!$V$204:$CX$207,4,FALSE)</f>
        <v>5.0776286712487551</v>
      </c>
      <c r="AN67" s="6">
        <f>HLOOKUP(AN$63,SAP!$V$204:$CX$207,4,FALSE)</f>
        <v>5.0776286712487551</v>
      </c>
      <c r="AO67" s="6">
        <f>HLOOKUP(AO$63,SAP!$V$204:$CX$207,4,FALSE)</f>
        <v>5.0776286712487551</v>
      </c>
      <c r="AP67" s="6">
        <f>HLOOKUP(AP$63,SAP!$V$204:$CX$207,4,FALSE)</f>
        <v>5.0776286712487551</v>
      </c>
      <c r="AQ67" s="6">
        <f>HLOOKUP(AQ$63,SAP!$V$204:$CX$207,4,FALSE)</f>
        <v>5.0776286712487551</v>
      </c>
      <c r="AR67" s="6">
        <f>HLOOKUP(AR$63,SAP!$V$204:$CX$207,4,FALSE)</f>
        <v>5.0776286712487551</v>
      </c>
      <c r="AS67" s="6">
        <f>HLOOKUP(AS$63,SAP!$V$204:$CX$207,4,FALSE)</f>
        <v>5.0776286712487551</v>
      </c>
      <c r="AT67" s="6">
        <f>HLOOKUP(AT$63,SAP!$V$204:$CX$207,4,FALSE)</f>
        <v>5.0776286712487551</v>
      </c>
      <c r="AU67" s="6">
        <f>HLOOKUP(AU$63,SAP!$V$204:$CX$207,4,FALSE)</f>
        <v>5.0776286712487551</v>
      </c>
      <c r="AV67" s="6">
        <f>HLOOKUP(AV$63,SAP!$V$204:$CX$207,4,FALSE)</f>
        <v>5.0776286712487551</v>
      </c>
      <c r="AW67" s="6">
        <f>HLOOKUP(AW$63,SAP!$V$204:$CX$207,4,FALSE)</f>
        <v>5.0776286712487551</v>
      </c>
      <c r="AX67" s="6">
        <f>HLOOKUP(AX$63,SAP!$V$204:$CX$207,4,FALSE)</f>
        <v>5.0776286712487551</v>
      </c>
      <c r="AY67" s="6">
        <f>HLOOKUP(AY$63,SAP!$V$204:$CX$207,4,FALSE)</f>
        <v>5.0776286712487551</v>
      </c>
      <c r="AZ67" s="6">
        <f>HLOOKUP(AZ$63,SAP!$V$204:$CX$207,4,FALSE)</f>
        <v>5.0776286712487551</v>
      </c>
      <c r="BA67" s="6">
        <f>HLOOKUP(BA$63,SAP!$V$204:$CX$207,4,FALSE)</f>
        <v>5.0776286712487551</v>
      </c>
      <c r="BB67" s="6">
        <f>HLOOKUP(BB$63,SAP!$V$204:$CX$207,4,FALSE)</f>
        <v>5.0776286712487551</v>
      </c>
      <c r="BC67" s="6">
        <f>HLOOKUP(BC$63,SAP!$V$204:$CX$207,4,FALSE)</f>
        <v>5.0776286712487551</v>
      </c>
      <c r="BD67" s="6">
        <f>HLOOKUP(BD$63,SAP!$V$204:$CX$207,4,FALSE)</f>
        <v>5.0776286712487551</v>
      </c>
      <c r="BE67" s="6">
        <f>HLOOKUP(BE$63,SAP!$V$204:$CX$207,4,FALSE)</f>
        <v>5.0776286712487551</v>
      </c>
      <c r="BF67" s="6">
        <f>HLOOKUP(BF$63,SAP!$V$204:$CX$207,4,FALSE)</f>
        <v>5.0776286712487551</v>
      </c>
      <c r="BG67" s="6">
        <f>HLOOKUP(BG$63,SAP!$V$204:$CX$207,4,FALSE)</f>
        <v>5.0776286712487551</v>
      </c>
      <c r="BH67" s="6">
        <f>HLOOKUP(BH$63,SAP!$V$204:$CX$207,4,FALSE)</f>
        <v>5.0776286712487551</v>
      </c>
      <c r="BI67" s="6">
        <f>HLOOKUP(BI$63,SAP!$V$204:$CX$207,4,FALSE)</f>
        <v>5.0776286712487551</v>
      </c>
      <c r="BJ67" s="6">
        <f>HLOOKUP(BJ$63,SAP!$V$204:$CX$207,4,FALSE)</f>
        <v>5.0776286712487551</v>
      </c>
      <c r="BK67" s="6">
        <f>HLOOKUP(BK$63,SAP!$V$204:$CX$207,4,FALSE)</f>
        <v>5.0776286712487551</v>
      </c>
    </row>
    <row r="68" spans="2:64">
      <c r="B68" t="s">
        <v>844</v>
      </c>
      <c r="C68" s="6">
        <f>SAP!$C$218</f>
        <v>5</v>
      </c>
      <c r="D68" s="6">
        <f>C68*D66/C66</f>
        <v>4.9204854841464165</v>
      </c>
      <c r="E68" s="6">
        <f t="shared" ref="E68:BK68" si="52">D68*E66/D66</f>
        <v>4.9663109153734508</v>
      </c>
      <c r="F68" s="6">
        <f t="shared" si="52"/>
        <v>4.8222463744456618</v>
      </c>
      <c r="G68" s="6">
        <f t="shared" si="52"/>
        <v>4.9602150772085611</v>
      </c>
      <c r="H68" s="6">
        <f t="shared" si="52"/>
        <v>5.0672035777135553</v>
      </c>
      <c r="I68" s="6">
        <f t="shared" si="52"/>
        <v>5.0903456371362781</v>
      </c>
      <c r="J68" s="6">
        <f t="shared" si="52"/>
        <v>5.0845494893838952</v>
      </c>
      <c r="K68" s="6">
        <f t="shared" si="52"/>
        <v>5.1264207140185238</v>
      </c>
      <c r="L68" s="6">
        <f t="shared" si="52"/>
        <v>4.9868916554724869</v>
      </c>
      <c r="M68" s="6">
        <f t="shared" si="52"/>
        <v>4.9868916554724869</v>
      </c>
      <c r="N68" s="6">
        <f t="shared" si="52"/>
        <v>4.9868916554724869</v>
      </c>
      <c r="O68" s="6">
        <f t="shared" si="52"/>
        <v>4.9868916554724869</v>
      </c>
      <c r="P68" s="6">
        <f t="shared" si="52"/>
        <v>4.9868916554724869</v>
      </c>
      <c r="Q68" s="6">
        <f t="shared" si="52"/>
        <v>4.9868916554724869</v>
      </c>
      <c r="R68" s="6">
        <f t="shared" si="52"/>
        <v>4.9868916554724869</v>
      </c>
      <c r="S68" s="6">
        <f t="shared" si="52"/>
        <v>4.9868916554724869</v>
      </c>
      <c r="T68" s="6">
        <f t="shared" si="52"/>
        <v>4.9868916554724869</v>
      </c>
      <c r="U68" s="6">
        <f t="shared" si="52"/>
        <v>4.9868916554724869</v>
      </c>
      <c r="V68" s="6">
        <f t="shared" si="52"/>
        <v>4.9868916554724869</v>
      </c>
      <c r="W68" s="6">
        <f t="shared" si="52"/>
        <v>4.9868916554724869</v>
      </c>
      <c r="X68" s="6">
        <f t="shared" si="52"/>
        <v>4.9868916554724869</v>
      </c>
      <c r="Y68" s="6">
        <f t="shared" si="52"/>
        <v>4.9868916554724869</v>
      </c>
      <c r="Z68" s="6">
        <f t="shared" si="52"/>
        <v>4.9868916554724869</v>
      </c>
      <c r="AA68" s="6">
        <f t="shared" si="52"/>
        <v>4.9868916554724869</v>
      </c>
      <c r="AB68" s="6">
        <f t="shared" si="52"/>
        <v>4.9868916554724869</v>
      </c>
      <c r="AC68" s="6">
        <f t="shared" si="52"/>
        <v>4.9868916554724869</v>
      </c>
      <c r="AD68" s="6">
        <f t="shared" si="52"/>
        <v>4.9868916554724869</v>
      </c>
      <c r="AE68" s="6">
        <f t="shared" si="52"/>
        <v>4.9868916554724869</v>
      </c>
      <c r="AF68" s="6">
        <f t="shared" si="52"/>
        <v>4.9868916554724869</v>
      </c>
      <c r="AG68" s="6">
        <f t="shared" si="52"/>
        <v>4.9868916554724869</v>
      </c>
      <c r="AH68" s="6">
        <f t="shared" si="52"/>
        <v>4.9868916554724869</v>
      </c>
      <c r="AI68" s="6">
        <f t="shared" si="52"/>
        <v>4.9868916554724869</v>
      </c>
      <c r="AJ68" s="6">
        <f t="shared" si="52"/>
        <v>4.9868916554724869</v>
      </c>
      <c r="AK68" s="6">
        <f t="shared" si="52"/>
        <v>4.9868916554724869</v>
      </c>
      <c r="AL68" s="6">
        <f t="shared" si="52"/>
        <v>4.9868916554724869</v>
      </c>
      <c r="AM68" s="6">
        <f t="shared" si="52"/>
        <v>4.9868916554724869</v>
      </c>
      <c r="AN68" s="6">
        <f t="shared" si="52"/>
        <v>4.9868916554724869</v>
      </c>
      <c r="AO68" s="6">
        <f t="shared" si="52"/>
        <v>4.9868916554724869</v>
      </c>
      <c r="AP68" s="6">
        <f t="shared" si="52"/>
        <v>4.9868916554724869</v>
      </c>
      <c r="AQ68" s="6">
        <f t="shared" si="52"/>
        <v>4.9868916554724869</v>
      </c>
      <c r="AR68" s="6">
        <f t="shared" si="52"/>
        <v>4.9868916554724869</v>
      </c>
      <c r="AS68" s="6">
        <f t="shared" si="52"/>
        <v>4.9868916554724869</v>
      </c>
      <c r="AT68" s="6">
        <f t="shared" si="52"/>
        <v>4.9868916554724869</v>
      </c>
      <c r="AU68" s="6">
        <f t="shared" si="52"/>
        <v>4.9868916554724869</v>
      </c>
      <c r="AV68" s="6">
        <f t="shared" si="52"/>
        <v>4.9868916554724869</v>
      </c>
      <c r="AW68" s="6">
        <f t="shared" si="52"/>
        <v>4.9868916554724869</v>
      </c>
      <c r="AX68" s="6">
        <f t="shared" si="52"/>
        <v>4.9868916554724869</v>
      </c>
      <c r="AY68" s="6">
        <f t="shared" si="52"/>
        <v>4.9868916554724869</v>
      </c>
      <c r="AZ68" s="6">
        <f t="shared" si="52"/>
        <v>4.9868916554724869</v>
      </c>
      <c r="BA68" s="6">
        <f t="shared" si="52"/>
        <v>4.9868916554724869</v>
      </c>
      <c r="BB68" s="6">
        <f t="shared" si="52"/>
        <v>4.9868916554724869</v>
      </c>
      <c r="BC68" s="6">
        <f t="shared" si="52"/>
        <v>4.9868916554724869</v>
      </c>
      <c r="BD68" s="6">
        <f t="shared" si="52"/>
        <v>4.9868916554724869</v>
      </c>
      <c r="BE68" s="6">
        <f t="shared" si="52"/>
        <v>4.9868916554724869</v>
      </c>
      <c r="BF68" s="6">
        <f t="shared" si="52"/>
        <v>4.9868916554724869</v>
      </c>
      <c r="BG68" s="6">
        <f t="shared" si="52"/>
        <v>4.9868916554724869</v>
      </c>
      <c r="BH68" s="6">
        <f t="shared" si="52"/>
        <v>4.9868916554724869</v>
      </c>
      <c r="BI68" s="6">
        <f t="shared" si="52"/>
        <v>4.9868916554724869</v>
      </c>
      <c r="BJ68" s="6">
        <f t="shared" si="52"/>
        <v>4.9868916554724869</v>
      </c>
      <c r="BK68" s="6">
        <f t="shared" si="52"/>
        <v>4.9868916554724869</v>
      </c>
    </row>
    <row r="69" spans="2:64">
      <c r="B69" t="s">
        <v>820</v>
      </c>
      <c r="C69" s="6">
        <f>HLOOKUP(C$63,SAP!$V$204:$CX$207,2,FALSE)</f>
        <v>33.535623205735575</v>
      </c>
      <c r="D69" s="6">
        <f>HLOOKUP(D$63,SAP!$V$204:$CX$207,2,FALSE)</f>
        <v>33.864403825399656</v>
      </c>
      <c r="E69" s="6">
        <f>HLOOKUP(E$63,SAP!$V$204:$CX$207,2,FALSE)</f>
        <v>34.1964077844722</v>
      </c>
      <c r="F69" s="6">
        <f>HLOOKUP(F$63,SAP!$V$204:$CX$207,2,FALSE)</f>
        <v>35.596643982132896</v>
      </c>
      <c r="G69" s="6">
        <f>HLOOKUP(G$63,SAP!$V$204:$CX$207,2,FALSE)</f>
        <v>42.663128276153017</v>
      </c>
      <c r="H69" s="6">
        <f>HLOOKUP(H$63,SAP!$V$204:$CX$207,2,FALSE)</f>
        <v>53.984513286499556</v>
      </c>
      <c r="I69" s="6">
        <f>HLOOKUP(I$63,SAP!$V$204:$CX$207,2,FALSE)</f>
        <v>65.305898296846095</v>
      </c>
      <c r="J69" s="6">
        <f>HLOOKUP(J$63,SAP!$V$204:$CX$207,2,FALSE)</f>
        <v>76.627283307192641</v>
      </c>
      <c r="K69" s="6">
        <f>HLOOKUP(K$63,SAP!$V$204:$CX$207,2,FALSE)</f>
        <v>87.948668317539173</v>
      </c>
      <c r="L69" s="6">
        <f>HLOOKUP(L$63,SAP!$V$204:$CX$207,2,FALSE)</f>
        <v>99.270053327885719</v>
      </c>
      <c r="M69" s="6">
        <f>HLOOKUP(M$63,SAP!$V$204:$CX$207,2,FALSE)</f>
        <v>99.270053327885719</v>
      </c>
      <c r="N69" s="6">
        <f>HLOOKUP(N$63,SAP!$V$204:$CX$207,2,FALSE)</f>
        <v>99.270053327885719</v>
      </c>
      <c r="O69" s="6">
        <f>HLOOKUP(O$63,SAP!$V$204:$CX$207,2,FALSE)</f>
        <v>99.270053327885719</v>
      </c>
      <c r="P69" s="6">
        <f>HLOOKUP(P$63,SAP!$V$204:$CX$207,2,FALSE)</f>
        <v>99.270053327885719</v>
      </c>
      <c r="Q69" s="6">
        <f>HLOOKUP(Q$63,SAP!$V$204:$CX$207,2,FALSE)</f>
        <v>99.270053327885719</v>
      </c>
      <c r="R69" s="6">
        <f>HLOOKUP(R$63,SAP!$V$204:$CX$207,2,FALSE)</f>
        <v>99.270053327885719</v>
      </c>
      <c r="S69" s="6">
        <f>HLOOKUP(S$63,SAP!$V$204:$CX$207,2,FALSE)</f>
        <v>99.270053327885719</v>
      </c>
      <c r="T69" s="6">
        <f>HLOOKUP(T$63,SAP!$V$204:$CX$207,2,FALSE)</f>
        <v>99.270053327885719</v>
      </c>
      <c r="U69" s="6">
        <f>HLOOKUP(U$63,SAP!$V$204:$CX$207,2,FALSE)</f>
        <v>99.270053327885719</v>
      </c>
      <c r="V69" s="6">
        <f>HLOOKUP(V$63,SAP!$V$204:$CX$207,2,FALSE)</f>
        <v>99.270053327885719</v>
      </c>
      <c r="W69" s="6">
        <f>HLOOKUP(W$63,SAP!$V$204:$CX$207,2,FALSE)</f>
        <v>99.270053327885719</v>
      </c>
      <c r="X69" s="6">
        <f>HLOOKUP(X$63,SAP!$V$204:$CX$207,2,FALSE)</f>
        <v>99.270053327885719</v>
      </c>
      <c r="Y69" s="6">
        <f>HLOOKUP(Y$63,SAP!$V$204:$CX$207,2,FALSE)</f>
        <v>99.270053327885719</v>
      </c>
      <c r="Z69" s="6">
        <f>HLOOKUP(Z$63,SAP!$V$204:$CX$207,2,FALSE)</f>
        <v>99.270053327885719</v>
      </c>
      <c r="AA69" s="6">
        <f>HLOOKUP(AA$63,SAP!$V$204:$CX$207,2,FALSE)</f>
        <v>99.270053327885719</v>
      </c>
      <c r="AB69" s="6">
        <f>HLOOKUP(AB$63,SAP!$V$204:$CX$207,2,FALSE)</f>
        <v>99.270053327885719</v>
      </c>
      <c r="AC69" s="6">
        <f>HLOOKUP(AC$63,SAP!$V$204:$CX$207,2,FALSE)</f>
        <v>99.270053327885719</v>
      </c>
      <c r="AD69" s="6">
        <f>HLOOKUP(AD$63,SAP!$V$204:$CX$207,2,FALSE)</f>
        <v>99.270053327885719</v>
      </c>
      <c r="AE69" s="6">
        <f>HLOOKUP(AE$63,SAP!$V$204:$CX$207,2,FALSE)</f>
        <v>99.270053327885719</v>
      </c>
      <c r="AF69" s="6">
        <f>HLOOKUP(AF$63,SAP!$V$204:$CX$207,2,FALSE)</f>
        <v>99.270053327885719</v>
      </c>
      <c r="AG69" s="6">
        <f>HLOOKUP(AG$63,SAP!$V$204:$CX$207,2,FALSE)</f>
        <v>99.270053327885719</v>
      </c>
      <c r="AH69" s="6">
        <f>HLOOKUP(AH$63,SAP!$V$204:$CX$207,2,FALSE)</f>
        <v>99.270053327885719</v>
      </c>
      <c r="AI69" s="6">
        <f>HLOOKUP(AI$63,SAP!$V$204:$CX$207,2,FALSE)</f>
        <v>99.270053327885719</v>
      </c>
      <c r="AJ69" s="6">
        <f>HLOOKUP(AJ$63,SAP!$V$204:$CX$207,2,FALSE)</f>
        <v>99.270053327885719</v>
      </c>
      <c r="AK69" s="6">
        <f>HLOOKUP(AK$63,SAP!$V$204:$CX$207,2,FALSE)</f>
        <v>99.270053327885719</v>
      </c>
      <c r="AL69" s="6">
        <f>HLOOKUP(AL$63,SAP!$V$204:$CX$207,2,FALSE)</f>
        <v>99.270053327885719</v>
      </c>
      <c r="AM69" s="6">
        <f>HLOOKUP(AM$63,SAP!$V$204:$CX$207,2,FALSE)</f>
        <v>99.270053327885719</v>
      </c>
      <c r="AN69" s="6">
        <f>HLOOKUP(AN$63,SAP!$V$204:$CX$207,2,FALSE)</f>
        <v>99.270053327885719</v>
      </c>
      <c r="AO69" s="6">
        <f>HLOOKUP(AO$63,SAP!$V$204:$CX$207,2,FALSE)</f>
        <v>99.270053327885719</v>
      </c>
      <c r="AP69" s="6">
        <f>HLOOKUP(AP$63,SAP!$V$204:$CX$207,2,FALSE)</f>
        <v>99.270053327885719</v>
      </c>
      <c r="AQ69" s="6">
        <f>HLOOKUP(AQ$63,SAP!$V$204:$CX$207,2,FALSE)</f>
        <v>99.270053327885719</v>
      </c>
      <c r="AR69" s="6">
        <f>HLOOKUP(AR$63,SAP!$V$204:$CX$207,2,FALSE)</f>
        <v>99.270053327885719</v>
      </c>
      <c r="AS69" s="6">
        <f>HLOOKUP(AS$63,SAP!$V$204:$CX$207,2,FALSE)</f>
        <v>99.270053327885719</v>
      </c>
      <c r="AT69" s="6">
        <f>HLOOKUP(AT$63,SAP!$V$204:$CX$207,2,FALSE)</f>
        <v>99.270053327885719</v>
      </c>
      <c r="AU69" s="6">
        <f>HLOOKUP(AU$63,SAP!$V$204:$CX$207,2,FALSE)</f>
        <v>99.270053327885719</v>
      </c>
      <c r="AV69" s="6">
        <f>HLOOKUP(AV$63,SAP!$V$204:$CX$207,2,FALSE)</f>
        <v>99.270053327885719</v>
      </c>
      <c r="AW69" s="6">
        <f>HLOOKUP(AW$63,SAP!$V$204:$CX$207,2,FALSE)</f>
        <v>99.270053327885719</v>
      </c>
      <c r="AX69" s="6">
        <f>HLOOKUP(AX$63,SAP!$V$204:$CX$207,2,FALSE)</f>
        <v>99.270053327885719</v>
      </c>
      <c r="AY69" s="6">
        <f>HLOOKUP(AY$63,SAP!$V$204:$CX$207,2,FALSE)</f>
        <v>99.270053327885719</v>
      </c>
      <c r="AZ69" s="6">
        <f>HLOOKUP(AZ$63,SAP!$V$204:$CX$207,2,FALSE)</f>
        <v>99.270053327885719</v>
      </c>
      <c r="BA69" s="6">
        <f>HLOOKUP(BA$63,SAP!$V$204:$CX$207,2,FALSE)</f>
        <v>99.270053327885719</v>
      </c>
      <c r="BB69" s="6">
        <f>HLOOKUP(BB$63,SAP!$V$204:$CX$207,2,FALSE)</f>
        <v>99.270053327885719</v>
      </c>
      <c r="BC69" s="6">
        <f>HLOOKUP(BC$63,SAP!$V$204:$CX$207,2,FALSE)</f>
        <v>99.270053327885719</v>
      </c>
      <c r="BD69" s="6">
        <f>HLOOKUP(BD$63,SAP!$V$204:$CX$207,2,FALSE)</f>
        <v>99.270053327885719</v>
      </c>
      <c r="BE69" s="6">
        <f>HLOOKUP(BE$63,SAP!$V$204:$CX$207,2,FALSE)</f>
        <v>99.270053327885719</v>
      </c>
      <c r="BF69" s="6">
        <f>HLOOKUP(BF$63,SAP!$V$204:$CX$207,2,FALSE)</f>
        <v>99.270053327885719</v>
      </c>
      <c r="BG69" s="6">
        <f>HLOOKUP(BG$63,SAP!$V$204:$CX$207,2,FALSE)</f>
        <v>99.270053327885719</v>
      </c>
      <c r="BH69" s="6">
        <f>HLOOKUP(BH$63,SAP!$V$204:$CX$207,2,FALSE)</f>
        <v>99.270053327885719</v>
      </c>
      <c r="BI69" s="6">
        <f>HLOOKUP(BI$63,SAP!$V$204:$CX$207,2,FALSE)</f>
        <v>99.270053327885719</v>
      </c>
      <c r="BJ69" s="6">
        <f>HLOOKUP(BJ$63,SAP!$V$204:$CX$207,2,FALSE)</f>
        <v>99.270053327885719</v>
      </c>
      <c r="BK69" s="6">
        <f>HLOOKUP(BK$63,SAP!$V$204:$CX$207,2,FALSE)</f>
        <v>99.270053327885719</v>
      </c>
    </row>
    <row r="70" spans="2:64">
      <c r="B70" t="s">
        <v>821</v>
      </c>
      <c r="C70" s="6">
        <f t="shared" ref="C70:AH70" si="53">C66*C$65</f>
        <v>20.106742940530978</v>
      </c>
      <c r="D70" s="6">
        <f t="shared" si="53"/>
        <v>19.117862178231135</v>
      </c>
      <c r="E70" s="6">
        <f t="shared" si="53"/>
        <v>18.643391806234373</v>
      </c>
      <c r="F70" s="6">
        <f t="shared" si="53"/>
        <v>17.490413103854113</v>
      </c>
      <c r="G70" s="6">
        <f t="shared" si="53"/>
        <v>17.382443651736555</v>
      </c>
      <c r="H70" s="6">
        <f t="shared" si="53"/>
        <v>17.156880445621301</v>
      </c>
      <c r="I70" s="6">
        <f t="shared" si="53"/>
        <v>16.652402313962803</v>
      </c>
      <c r="J70" s="6">
        <f t="shared" si="53"/>
        <v>16.070957460886792</v>
      </c>
      <c r="K70" s="6">
        <f t="shared" si="53"/>
        <v>15.655363930289981</v>
      </c>
      <c r="L70" s="6">
        <f t="shared" si="53"/>
        <v>14.714262721140889</v>
      </c>
      <c r="M70" s="6">
        <f t="shared" si="53"/>
        <v>14.216678957624048</v>
      </c>
      <c r="N70" s="6">
        <f t="shared" si="53"/>
        <v>13.735921698187486</v>
      </c>
      <c r="O70" s="6">
        <f t="shared" si="53"/>
        <v>13.271421930615931</v>
      </c>
      <c r="P70" s="6">
        <f t="shared" si="53"/>
        <v>12.822629884653075</v>
      </c>
      <c r="Q70" s="6">
        <f t="shared" si="53"/>
        <v>12.389014381307319</v>
      </c>
      <c r="R70" s="6">
        <f t="shared" si="53"/>
        <v>11.97006220416166</v>
      </c>
      <c r="S70" s="6">
        <f t="shared" si="53"/>
        <v>11.565277491943634</v>
      </c>
      <c r="T70" s="6">
        <f t="shared" si="53"/>
        <v>11.174181151636363</v>
      </c>
      <c r="U70" s="6">
        <f t="shared" si="53"/>
        <v>10.7963102914361</v>
      </c>
      <c r="V70" s="6">
        <f t="shared" si="53"/>
        <v>10.43121767288512</v>
      </c>
      <c r="W70" s="6">
        <f t="shared" si="53"/>
        <v>10.078471181531519</v>
      </c>
      <c r="X70" s="6">
        <f t="shared" si="53"/>
        <v>9.7376533154893909</v>
      </c>
      <c r="Y70" s="6">
        <f t="shared" si="53"/>
        <v>9.4083606912940976</v>
      </c>
      <c r="Z70" s="6">
        <f t="shared" si="53"/>
        <v>9.0902035664677285</v>
      </c>
      <c r="AA70" s="6">
        <f t="shared" si="53"/>
        <v>8.7828053782296909</v>
      </c>
      <c r="AB70" s="6">
        <f t="shared" si="53"/>
        <v>8.4858022978064653</v>
      </c>
      <c r="AC70" s="6">
        <f t="shared" si="53"/>
        <v>8.1988427998130113</v>
      </c>
      <c r="AD70" s="6">
        <f t="shared" si="53"/>
        <v>7.9215872461961467</v>
      </c>
      <c r="AE70" s="6">
        <f t="shared" si="53"/>
        <v>7.6537074842474855</v>
      </c>
      <c r="AF70" s="6">
        <f t="shared" si="53"/>
        <v>7.3948864582101317</v>
      </c>
      <c r="AG70" s="6">
        <f t="shared" si="53"/>
        <v>7.1448178340194515</v>
      </c>
      <c r="AH70" s="6">
        <f t="shared" si="53"/>
        <v>6.9367163437082047</v>
      </c>
      <c r="AI70" s="6">
        <f t="shared" ref="AI70:BK70" si="54">AI66*AI$65</f>
        <v>6.7346760618526265</v>
      </c>
      <c r="AJ70" s="6">
        <f t="shared" si="54"/>
        <v>6.5385204484006074</v>
      </c>
      <c r="AK70" s="6">
        <f t="shared" si="54"/>
        <v>6.3480781052433084</v>
      </c>
      <c r="AL70" s="6">
        <f t="shared" si="54"/>
        <v>6.1631826264498137</v>
      </c>
      <c r="AM70" s="6">
        <f t="shared" si="54"/>
        <v>5.9836724528638969</v>
      </c>
      <c r="AN70" s="6">
        <f t="shared" si="54"/>
        <v>5.8093907309358226</v>
      </c>
      <c r="AO70" s="6">
        <f t="shared" si="54"/>
        <v>5.640185175665847</v>
      </c>
      <c r="AP70" s="6">
        <f t="shared" si="54"/>
        <v>5.4759079375396578</v>
      </c>
      <c r="AQ70" s="6">
        <f t="shared" si="54"/>
        <v>5.3164154733394735</v>
      </c>
      <c r="AR70" s="6">
        <f t="shared" si="54"/>
        <v>5.1615684207179351</v>
      </c>
      <c r="AS70" s="6">
        <f t="shared" si="54"/>
        <v>5.0112314764251806</v>
      </c>
      <c r="AT70" s="6">
        <f t="shared" si="54"/>
        <v>4.8652732780826993</v>
      </c>
      <c r="AU70" s="6">
        <f t="shared" si="54"/>
        <v>4.7235662894006785</v>
      </c>
      <c r="AV70" s="6">
        <f t="shared" si="54"/>
        <v>4.5859866887385232</v>
      </c>
      <c r="AW70" s="6">
        <f t="shared" si="54"/>
        <v>4.452414260911187</v>
      </c>
      <c r="AX70" s="6">
        <f t="shared" si="54"/>
        <v>4.3227322921467835</v>
      </c>
      <c r="AY70" s="6">
        <f t="shared" si="54"/>
        <v>4.1968274681036739</v>
      </c>
      <c r="AZ70" s="6">
        <f t="shared" si="54"/>
        <v>4.0745897748579356</v>
      </c>
      <c r="BA70" s="6">
        <f t="shared" si="54"/>
        <v>3.9559124027746946</v>
      </c>
      <c r="BB70" s="6">
        <f t="shared" si="54"/>
        <v>3.8406916531793152</v>
      </c>
      <c r="BC70" s="6">
        <f t="shared" si="54"/>
        <v>3.728826847746908</v>
      </c>
      <c r="BD70" s="6">
        <f t="shared" si="54"/>
        <v>3.6202202405309785</v>
      </c>
      <c r="BE70" s="6">
        <f t="shared" si="54"/>
        <v>3.5147769325543483</v>
      </c>
      <c r="BF70" s="6">
        <f t="shared" si="54"/>
        <v>3.4124047888877165</v>
      </c>
      <c r="BG70" s="6">
        <f t="shared" si="54"/>
        <v>3.3130143581434139</v>
      </c>
      <c r="BH70" s="6">
        <f t="shared" si="54"/>
        <v>3.2165187943139943</v>
      </c>
      <c r="BI70" s="6">
        <f t="shared" si="54"/>
        <v>3.122833780887373</v>
      </c>
      <c r="BJ70" s="6">
        <f t="shared" si="54"/>
        <v>3.0318774571722069</v>
      </c>
      <c r="BK70" s="6">
        <f t="shared" si="54"/>
        <v>2.9435703467691332</v>
      </c>
    </row>
    <row r="71" spans="2:64">
      <c r="B71" t="s">
        <v>822</v>
      </c>
      <c r="C71" s="6">
        <f t="shared" ref="C71:AH71" si="55">C67*C$65</f>
        <v>4.8299246244447689</v>
      </c>
      <c r="D71" s="6">
        <f t="shared" si="55"/>
        <v>4.7045328950251921</v>
      </c>
      <c r="E71" s="6">
        <f t="shared" si="55"/>
        <v>4.593045332476005</v>
      </c>
      <c r="F71" s="6">
        <f t="shared" si="55"/>
        <v>4.4667751501333202</v>
      </c>
      <c r="G71" s="6">
        <f t="shared" si="55"/>
        <v>4.38853877787923</v>
      </c>
      <c r="H71" s="6">
        <f t="shared" si="55"/>
        <v>4.2752270924629538</v>
      </c>
      <c r="I71" s="6">
        <f t="shared" si="55"/>
        <v>4.1306541956163807</v>
      </c>
      <c r="J71" s="6">
        <f t="shared" si="55"/>
        <v>3.9909702373105134</v>
      </c>
      <c r="K71" s="6">
        <f t="shared" si="55"/>
        <v>3.8560098911212695</v>
      </c>
      <c r="L71" s="6">
        <f t="shared" si="55"/>
        <v>3.7256134213732075</v>
      </c>
      <c r="M71" s="6">
        <f t="shared" si="55"/>
        <v>3.5996264940803941</v>
      </c>
      <c r="N71" s="6">
        <f t="shared" si="55"/>
        <v>3.4778999942805742</v>
      </c>
      <c r="O71" s="6">
        <f t="shared" si="55"/>
        <v>3.360289849546449</v>
      </c>
      <c r="P71" s="6">
        <f t="shared" si="55"/>
        <v>3.2466568594651686</v>
      </c>
      <c r="Q71" s="6">
        <f t="shared" si="55"/>
        <v>3.136866530884221</v>
      </c>
      <c r="R71" s="6">
        <f t="shared" si="55"/>
        <v>3.030788918728716</v>
      </c>
      <c r="S71" s="6">
        <f t="shared" si="55"/>
        <v>2.9282984722016581</v>
      </c>
      <c r="T71" s="6">
        <f t="shared" si="55"/>
        <v>2.8292738861851774</v>
      </c>
      <c r="U71" s="6">
        <f t="shared" si="55"/>
        <v>2.7335979576668379</v>
      </c>
      <c r="V71" s="6">
        <f t="shared" si="55"/>
        <v>2.6411574470210994</v>
      </c>
      <c r="W71" s="6">
        <f t="shared" si="55"/>
        <v>2.5518429439817392</v>
      </c>
      <c r="X71" s="6">
        <f t="shared" si="55"/>
        <v>2.4655487381466079</v>
      </c>
      <c r="Y71" s="6">
        <f t="shared" si="55"/>
        <v>2.3821726938614569</v>
      </c>
      <c r="Z71" s="6">
        <f t="shared" si="55"/>
        <v>2.3016161293347412</v>
      </c>
      <c r="AA71" s="6">
        <f t="shared" si="55"/>
        <v>2.2237836998403302</v>
      </c>
      <c r="AB71" s="6">
        <f t="shared" si="55"/>
        <v>2.1485832848698845</v>
      </c>
      <c r="AC71" s="6">
        <f t="shared" si="55"/>
        <v>2.0759258791013377</v>
      </c>
      <c r="AD71" s="6">
        <f t="shared" si="55"/>
        <v>2.0057254870544328</v>
      </c>
      <c r="AE71" s="6">
        <f t="shared" si="55"/>
        <v>1.9378990213086309</v>
      </c>
      <c r="AF71" s="6">
        <f t="shared" si="55"/>
        <v>1.8723662041629285</v>
      </c>
      <c r="AG71" s="6">
        <f t="shared" si="55"/>
        <v>1.8090494726211872</v>
      </c>
      <c r="AH71" s="6">
        <f t="shared" si="55"/>
        <v>1.7563587112827059</v>
      </c>
      <c r="AI71" s="6">
        <f t="shared" ref="AI71:BK71" si="56">AI67*AI$65</f>
        <v>1.7052026323133069</v>
      </c>
      <c r="AJ71" s="6">
        <f t="shared" si="56"/>
        <v>1.6555365362265113</v>
      </c>
      <c r="AK71" s="6">
        <f t="shared" si="56"/>
        <v>1.6073170254626323</v>
      </c>
      <c r="AL71" s="6">
        <f t="shared" si="56"/>
        <v>1.5605019664685751</v>
      </c>
      <c r="AM71" s="6">
        <f t="shared" si="56"/>
        <v>1.5150504528821118</v>
      </c>
      <c r="AN71" s="6">
        <f t="shared" si="56"/>
        <v>1.4709227697884579</v>
      </c>
      <c r="AO71" s="6">
        <f t="shared" si="56"/>
        <v>1.4280803590179205</v>
      </c>
      <c r="AP71" s="6">
        <f t="shared" si="56"/>
        <v>1.3864857854542918</v>
      </c>
      <c r="AQ71" s="6">
        <f t="shared" si="56"/>
        <v>1.346102704324555</v>
      </c>
      <c r="AR71" s="6">
        <f t="shared" si="56"/>
        <v>1.3068958294413158</v>
      </c>
      <c r="AS71" s="6">
        <f t="shared" si="56"/>
        <v>1.2688309023702093</v>
      </c>
      <c r="AT71" s="6">
        <f t="shared" si="56"/>
        <v>1.2318746624953489</v>
      </c>
      <c r="AU71" s="6">
        <f t="shared" si="56"/>
        <v>1.1959948179566495</v>
      </c>
      <c r="AV71" s="6">
        <f t="shared" si="56"/>
        <v>1.1611600174336403</v>
      </c>
      <c r="AW71" s="6">
        <f t="shared" si="56"/>
        <v>1.1273398227511069</v>
      </c>
      <c r="AX71" s="6">
        <f t="shared" si="56"/>
        <v>1.0945046822826281</v>
      </c>
      <c r="AY71" s="6">
        <f t="shared" si="56"/>
        <v>1.0626259051287652</v>
      </c>
      <c r="AZ71" s="6">
        <f t="shared" si="56"/>
        <v>1.0316756360473447</v>
      </c>
      <c r="BA71" s="6">
        <f t="shared" si="56"/>
        <v>1.0016268311139269</v>
      </c>
      <c r="BB71" s="6">
        <f t="shared" si="56"/>
        <v>0.97245323409119122</v>
      </c>
      <c r="BC71" s="6">
        <f t="shared" si="56"/>
        <v>0.94412935348659344</v>
      </c>
      <c r="BD71" s="6">
        <f t="shared" si="56"/>
        <v>0.91663044027824603</v>
      </c>
      <c r="BE71" s="6">
        <f t="shared" si="56"/>
        <v>0.88993246628955935</v>
      </c>
      <c r="BF71" s="6">
        <f t="shared" si="56"/>
        <v>0.86401210319374688</v>
      </c>
      <c r="BG71" s="6">
        <f t="shared" si="56"/>
        <v>0.83884670212985135</v>
      </c>
      <c r="BH71" s="6">
        <f t="shared" si="56"/>
        <v>0.81441427391247712</v>
      </c>
      <c r="BI71" s="6">
        <f t="shared" si="56"/>
        <v>0.79069346981793887</v>
      </c>
      <c r="BJ71" s="6">
        <f t="shared" si="56"/>
        <v>0.76766356293003779</v>
      </c>
      <c r="BK71" s="6">
        <f t="shared" si="56"/>
        <v>0.74530443002916291</v>
      </c>
    </row>
    <row r="72" spans="2:64">
      <c r="B72" t="s">
        <v>845</v>
      </c>
      <c r="C72" s="6">
        <f>C68*C$65</f>
        <v>5</v>
      </c>
      <c r="D72" s="6">
        <f t="shared" ref="D72:BK72" si="57">D68*D$65</f>
        <v>4.7540922552139291</v>
      </c>
      <c r="E72" s="6">
        <f t="shared" si="57"/>
        <v>4.6361043808475824</v>
      </c>
      <c r="F72" s="6">
        <f t="shared" si="57"/>
        <v>4.3493899423653319</v>
      </c>
      <c r="G72" s="6">
        <f t="shared" si="57"/>
        <v>4.3225408767466744</v>
      </c>
      <c r="H72" s="6">
        <f t="shared" si="57"/>
        <v>4.2664494434443254</v>
      </c>
      <c r="I72" s="6">
        <f t="shared" si="57"/>
        <v>4.1409994555595206</v>
      </c>
      <c r="J72" s="6">
        <f t="shared" si="57"/>
        <v>3.9964099378052702</v>
      </c>
      <c r="K72" s="6">
        <f t="shared" si="57"/>
        <v>3.8930631322520295</v>
      </c>
      <c r="L72" s="6">
        <f t="shared" si="57"/>
        <v>3.6590368625741023</v>
      </c>
      <c r="M72" s="6">
        <f t="shared" si="57"/>
        <v>3.5353013164967173</v>
      </c>
      <c r="N72" s="6">
        <f t="shared" si="57"/>
        <v>3.4157500642480363</v>
      </c>
      <c r="O72" s="6">
        <f t="shared" si="57"/>
        <v>3.3002416079691175</v>
      </c>
      <c r="P72" s="6">
        <f t="shared" si="57"/>
        <v>3.1886392347527708</v>
      </c>
      <c r="Q72" s="6">
        <f t="shared" si="57"/>
        <v>3.0808108548335951</v>
      </c>
      <c r="R72" s="6">
        <f t="shared" si="57"/>
        <v>2.9766288452498504</v>
      </c>
      <c r="S72" s="6">
        <f t="shared" si="57"/>
        <v>2.8759698987921265</v>
      </c>
      <c r="T72" s="6">
        <f t="shared" si="57"/>
        <v>2.7787148780600259</v>
      </c>
      <c r="U72" s="6">
        <f t="shared" si="57"/>
        <v>2.6847486744541311</v>
      </c>
      <c r="V72" s="6">
        <f t="shared" si="57"/>
        <v>2.5939600719363587</v>
      </c>
      <c r="W72" s="6">
        <f t="shared" si="57"/>
        <v>2.5062416153974483</v>
      </c>
      <c r="X72" s="6">
        <f t="shared" si="57"/>
        <v>2.4214894834757956</v>
      </c>
      <c r="Y72" s="6">
        <f t="shared" si="57"/>
        <v>2.3396033656770974</v>
      </c>
      <c r="Z72" s="6">
        <f t="shared" si="57"/>
        <v>2.2604863436493696</v>
      </c>
      <c r="AA72" s="6">
        <f t="shared" si="57"/>
        <v>2.1840447764728212</v>
      </c>
      <c r="AB72" s="6">
        <f t="shared" si="57"/>
        <v>2.1101881898288131</v>
      </c>
      <c r="AC72" s="6">
        <f t="shared" si="57"/>
        <v>2.0388291689167279</v>
      </c>
      <c r="AD72" s="6">
        <f t="shared" si="57"/>
        <v>1.9698832549920078</v>
      </c>
      <c r="AE72" s="6">
        <f t="shared" si="57"/>
        <v>1.9032688454029061</v>
      </c>
      <c r="AF72" s="6">
        <f t="shared" si="57"/>
        <v>1.8389070970076391</v>
      </c>
      <c r="AG72" s="6">
        <f t="shared" si="57"/>
        <v>1.7767218328576224</v>
      </c>
      <c r="AH72" s="6">
        <f t="shared" si="57"/>
        <v>1.7249726532598275</v>
      </c>
      <c r="AI72" s="6">
        <f t="shared" si="57"/>
        <v>1.6747307313202209</v>
      </c>
      <c r="AJ72" s="6">
        <f t="shared" si="57"/>
        <v>1.6259521663303114</v>
      </c>
      <c r="AK72" s="6">
        <f t="shared" si="57"/>
        <v>1.5785943362430208</v>
      </c>
      <c r="AL72" s="6">
        <f t="shared" si="57"/>
        <v>1.5326158604301172</v>
      </c>
      <c r="AM72" s="6">
        <f t="shared" si="57"/>
        <v>1.4879765635243858</v>
      </c>
      <c r="AN72" s="6">
        <f t="shared" si="57"/>
        <v>1.4446374403149376</v>
      </c>
      <c r="AO72" s="6">
        <f t="shared" si="57"/>
        <v>1.402560621664988</v>
      </c>
      <c r="AP72" s="6">
        <f t="shared" si="57"/>
        <v>1.3617093414223185</v>
      </c>
      <c r="AQ72" s="6">
        <f t="shared" si="57"/>
        <v>1.3220479042935132</v>
      </c>
      <c r="AR72" s="6">
        <f t="shared" si="57"/>
        <v>1.2835416546538962</v>
      </c>
      <c r="AS72" s="6">
        <f t="shared" si="57"/>
        <v>1.2461569462659188</v>
      </c>
      <c r="AT72" s="6">
        <f t="shared" si="57"/>
        <v>1.2098611128795327</v>
      </c>
      <c r="AU72" s="6">
        <f t="shared" si="57"/>
        <v>1.1746224396888667</v>
      </c>
      <c r="AV72" s="6">
        <f t="shared" si="57"/>
        <v>1.1404101356202589</v>
      </c>
      <c r="AW72" s="6">
        <f t="shared" si="57"/>
        <v>1.1071943064274357</v>
      </c>
      <c r="AX72" s="6">
        <f t="shared" si="57"/>
        <v>1.074945928570326</v>
      </c>
      <c r="AY72" s="6">
        <f t="shared" si="57"/>
        <v>1.0436368238546854</v>
      </c>
      <c r="AZ72" s="6">
        <f t="shared" si="57"/>
        <v>1.0132396348103743</v>
      </c>
      <c r="BA72" s="6">
        <f t="shared" si="57"/>
        <v>0.98372780078677102</v>
      </c>
      <c r="BB72" s="6">
        <f t="shared" si="57"/>
        <v>0.95507553474443796</v>
      </c>
      <c r="BC72" s="6">
        <f t="shared" si="57"/>
        <v>0.92725780072275532</v>
      </c>
      <c r="BD72" s="6">
        <f t="shared" si="57"/>
        <v>0.9002502919638401</v>
      </c>
      <c r="BE72" s="6">
        <f t="shared" si="57"/>
        <v>0.87402940967363119</v>
      </c>
      <c r="BF72" s="6">
        <f t="shared" si="57"/>
        <v>0.84857224240158369</v>
      </c>
      <c r="BG72" s="6">
        <f t="shared" si="57"/>
        <v>0.82385654602095504</v>
      </c>
      <c r="BH72" s="6">
        <f t="shared" si="57"/>
        <v>0.79986072429218935</v>
      </c>
      <c r="BI72" s="6">
        <f t="shared" si="57"/>
        <v>0.77656380999241681</v>
      </c>
      <c r="BJ72" s="6">
        <f t="shared" si="57"/>
        <v>0.7539454465945794</v>
      </c>
      <c r="BK72" s="6">
        <f t="shared" si="57"/>
        <v>0.73198587048017427</v>
      </c>
    </row>
    <row r="73" spans="2:64">
      <c r="B73" t="s">
        <v>823</v>
      </c>
      <c r="C73" s="6">
        <f t="shared" ref="C73" si="58">C69*C$65</f>
        <v>33.535623205735575</v>
      </c>
      <c r="D73" s="6">
        <f t="shared" ref="D73:BK73" si="59">D69*D$65</f>
        <v>32.719230749178415</v>
      </c>
      <c r="E73" s="6">
        <f t="shared" si="59"/>
        <v>31.922712580897759</v>
      </c>
      <c r="F73" s="6">
        <f t="shared" si="59"/>
        <v>32.106133385946272</v>
      </c>
      <c r="G73" s="6">
        <f t="shared" si="59"/>
        <v>37.17845154556074</v>
      </c>
      <c r="H73" s="6">
        <f t="shared" si="59"/>
        <v>45.453511613150098</v>
      </c>
      <c r="I73" s="6">
        <f t="shared" si="59"/>
        <v>53.126390341580873</v>
      </c>
      <c r="J73" s="6">
        <f t="shared" si="59"/>
        <v>60.228352021211528</v>
      </c>
      <c r="K73" s="6">
        <f t="shared" si="59"/>
        <v>66.78923507416927</v>
      </c>
      <c r="L73" s="6">
        <f t="shared" si="59"/>
        <v>72.837512737584433</v>
      </c>
      <c r="M73" s="6">
        <f t="shared" si="59"/>
        <v>70.374408442110564</v>
      </c>
      <c r="N73" s="6">
        <f t="shared" si="59"/>
        <v>67.994597528609248</v>
      </c>
      <c r="O73" s="6">
        <f t="shared" si="59"/>
        <v>65.695263312665944</v>
      </c>
      <c r="P73" s="6">
        <f t="shared" si="59"/>
        <v>63.473684360063721</v>
      </c>
      <c r="Q73" s="6">
        <f t="shared" si="59"/>
        <v>61.327231265762052</v>
      </c>
      <c r="R73" s="6">
        <f t="shared" si="59"/>
        <v>59.253363541799089</v>
      </c>
      <c r="S73" s="6">
        <f t="shared" si="59"/>
        <v>57.249626610433907</v>
      </c>
      <c r="T73" s="6">
        <f t="shared" si="59"/>
        <v>55.313648898969966</v>
      </c>
      <c r="U73" s="6">
        <f t="shared" si="59"/>
        <v>53.443139032821222</v>
      </c>
      <c r="V73" s="6">
        <f t="shared" si="59"/>
        <v>51.635883123498765</v>
      </c>
      <c r="W73" s="6">
        <f t="shared" si="59"/>
        <v>49.889742148307995</v>
      </c>
      <c r="X73" s="6">
        <f t="shared" si="59"/>
        <v>48.202649418655071</v>
      </c>
      <c r="Y73" s="6">
        <f t="shared" si="59"/>
        <v>46.572608133966256</v>
      </c>
      <c r="Z73" s="6">
        <f t="shared" si="59"/>
        <v>44.997689018324884</v>
      </c>
      <c r="AA73" s="6">
        <f t="shared" si="59"/>
        <v>43.476028037028883</v>
      </c>
      <c r="AB73" s="6">
        <f t="shared" si="59"/>
        <v>42.00582419036607</v>
      </c>
      <c r="AC73" s="6">
        <f t="shared" si="59"/>
        <v>40.585337381996212</v>
      </c>
      <c r="AD73" s="6">
        <f t="shared" si="59"/>
        <v>39.212886359416636</v>
      </c>
      <c r="AE73" s="6">
        <f t="shared" si="59"/>
        <v>37.88684672407404</v>
      </c>
      <c r="AF73" s="6">
        <f t="shared" si="59"/>
        <v>36.605649008767195</v>
      </c>
      <c r="AG73" s="6">
        <f t="shared" si="59"/>
        <v>35.367776820064925</v>
      </c>
      <c r="AH73" s="6">
        <f t="shared" si="59"/>
        <v>34.337647398121284</v>
      </c>
      <c r="AI73" s="6">
        <f t="shared" si="59"/>
        <v>33.337521745748823</v>
      </c>
      <c r="AJ73" s="6">
        <f t="shared" si="59"/>
        <v>32.36652596674643</v>
      </c>
      <c r="AK73" s="6">
        <f t="shared" si="59"/>
        <v>31.423811618200414</v>
      </c>
      <c r="AL73" s="6">
        <f t="shared" si="59"/>
        <v>30.508554969126617</v>
      </c>
      <c r="AM73" s="6">
        <f t="shared" si="59"/>
        <v>29.619956280705452</v>
      </c>
      <c r="AN73" s="6">
        <f t="shared" si="59"/>
        <v>28.75723910748102</v>
      </c>
      <c r="AO73" s="6">
        <f t="shared" si="59"/>
        <v>27.919649618913613</v>
      </c>
      <c r="AP73" s="6">
        <f t="shared" si="59"/>
        <v>27.106455940692832</v>
      </c>
      <c r="AQ73" s="6">
        <f t="shared" si="59"/>
        <v>26.316947515235757</v>
      </c>
      <c r="AR73" s="6">
        <f t="shared" si="59"/>
        <v>25.550434480811415</v>
      </c>
      <c r="AS73" s="6">
        <f t="shared" si="59"/>
        <v>24.806247068748949</v>
      </c>
      <c r="AT73" s="6">
        <f t="shared" si="59"/>
        <v>24.083735018202862</v>
      </c>
      <c r="AU73" s="6">
        <f t="shared" si="59"/>
        <v>23.382267007963943</v>
      </c>
      <c r="AV73" s="6">
        <f t="shared" si="59"/>
        <v>22.701230104819363</v>
      </c>
      <c r="AW73" s="6">
        <f t="shared" si="59"/>
        <v>22.040029227979961</v>
      </c>
      <c r="AX73" s="6">
        <f t="shared" si="59"/>
        <v>21.398086629106761</v>
      </c>
      <c r="AY73" s="6">
        <f t="shared" si="59"/>
        <v>20.77484138748229</v>
      </c>
      <c r="AZ73" s="6">
        <f t="shared" si="59"/>
        <v>20.16974891988572</v>
      </c>
      <c r="BA73" s="6">
        <f t="shared" si="59"/>
        <v>19.582280504743416</v>
      </c>
      <c r="BB73" s="6">
        <f t="shared" si="59"/>
        <v>19.01192282013924</v>
      </c>
      <c r="BC73" s="6">
        <f t="shared" si="59"/>
        <v>18.458177495280815</v>
      </c>
      <c r="BD73" s="6">
        <f t="shared" si="59"/>
        <v>17.920560675029918</v>
      </c>
      <c r="BE73" s="6">
        <f t="shared" si="59"/>
        <v>17.398602597116426</v>
      </c>
      <c r="BF73" s="6">
        <f t="shared" si="59"/>
        <v>16.891847181666432</v>
      </c>
      <c r="BG73" s="6">
        <f t="shared" si="59"/>
        <v>16.399851632685856</v>
      </c>
      <c r="BH73" s="6">
        <f t="shared" si="59"/>
        <v>15.922186051151318</v>
      </c>
      <c r="BI73" s="6">
        <f t="shared" si="59"/>
        <v>15.458433059370211</v>
      </c>
      <c r="BJ73" s="6">
        <f t="shared" si="59"/>
        <v>15.008187436281759</v>
      </c>
      <c r="BK73" s="6">
        <f t="shared" si="59"/>
        <v>14.571055763380349</v>
      </c>
    </row>
    <row r="75" spans="2:64">
      <c r="B75" s="1" t="s">
        <v>817</v>
      </c>
      <c r="D75" s="175"/>
    </row>
    <row r="76" spans="2:64">
      <c r="B76" s="41" t="s">
        <v>719</v>
      </c>
      <c r="C76" s="101">
        <f>INPUT!C8</f>
        <v>2026</v>
      </c>
      <c r="D76" s="101">
        <f>C76+1</f>
        <v>2027</v>
      </c>
      <c r="E76" s="101">
        <f t="shared" ref="E76:BK76" si="60">D76+1</f>
        <v>2028</v>
      </c>
      <c r="F76" s="101">
        <f t="shared" si="60"/>
        <v>2029</v>
      </c>
      <c r="G76" s="101">
        <f t="shared" si="60"/>
        <v>2030</v>
      </c>
      <c r="H76" s="101">
        <f t="shared" si="60"/>
        <v>2031</v>
      </c>
      <c r="I76" s="101">
        <f t="shared" si="60"/>
        <v>2032</v>
      </c>
      <c r="J76" s="101">
        <f t="shared" si="60"/>
        <v>2033</v>
      </c>
      <c r="K76" s="101">
        <f t="shared" si="60"/>
        <v>2034</v>
      </c>
      <c r="L76" s="101">
        <f t="shared" si="60"/>
        <v>2035</v>
      </c>
      <c r="M76" s="101">
        <f t="shared" si="60"/>
        <v>2036</v>
      </c>
      <c r="N76" s="101">
        <f t="shared" si="60"/>
        <v>2037</v>
      </c>
      <c r="O76" s="101">
        <f t="shared" si="60"/>
        <v>2038</v>
      </c>
      <c r="P76" s="101">
        <f t="shared" si="60"/>
        <v>2039</v>
      </c>
      <c r="Q76" s="101">
        <f t="shared" si="60"/>
        <v>2040</v>
      </c>
      <c r="R76" s="101">
        <f t="shared" si="60"/>
        <v>2041</v>
      </c>
      <c r="S76" s="101">
        <f t="shared" si="60"/>
        <v>2042</v>
      </c>
      <c r="T76" s="101">
        <f t="shared" si="60"/>
        <v>2043</v>
      </c>
      <c r="U76" s="101">
        <f t="shared" si="60"/>
        <v>2044</v>
      </c>
      <c r="V76" s="101">
        <f t="shared" si="60"/>
        <v>2045</v>
      </c>
      <c r="W76" s="101">
        <f t="shared" si="60"/>
        <v>2046</v>
      </c>
      <c r="X76" s="101">
        <f t="shared" si="60"/>
        <v>2047</v>
      </c>
      <c r="Y76" s="101">
        <f t="shared" si="60"/>
        <v>2048</v>
      </c>
      <c r="Z76" s="101">
        <f t="shared" si="60"/>
        <v>2049</v>
      </c>
      <c r="AA76" s="101">
        <f t="shared" si="60"/>
        <v>2050</v>
      </c>
      <c r="AB76" s="101">
        <f t="shared" si="60"/>
        <v>2051</v>
      </c>
      <c r="AC76" s="101">
        <f t="shared" si="60"/>
        <v>2052</v>
      </c>
      <c r="AD76" s="101">
        <f t="shared" si="60"/>
        <v>2053</v>
      </c>
      <c r="AE76" s="101">
        <f t="shared" si="60"/>
        <v>2054</v>
      </c>
      <c r="AF76" s="101">
        <f t="shared" si="60"/>
        <v>2055</v>
      </c>
      <c r="AG76" s="101">
        <f t="shared" si="60"/>
        <v>2056</v>
      </c>
      <c r="AH76" s="101">
        <f t="shared" si="60"/>
        <v>2057</v>
      </c>
      <c r="AI76" s="101">
        <f t="shared" si="60"/>
        <v>2058</v>
      </c>
      <c r="AJ76" s="101">
        <f t="shared" si="60"/>
        <v>2059</v>
      </c>
      <c r="AK76" s="101">
        <f t="shared" si="60"/>
        <v>2060</v>
      </c>
      <c r="AL76" s="101">
        <f t="shared" si="60"/>
        <v>2061</v>
      </c>
      <c r="AM76" s="101">
        <f t="shared" si="60"/>
        <v>2062</v>
      </c>
      <c r="AN76" s="101">
        <f t="shared" si="60"/>
        <v>2063</v>
      </c>
      <c r="AO76" s="101">
        <f t="shared" si="60"/>
        <v>2064</v>
      </c>
      <c r="AP76" s="101">
        <f t="shared" si="60"/>
        <v>2065</v>
      </c>
      <c r="AQ76" s="101">
        <f t="shared" si="60"/>
        <v>2066</v>
      </c>
      <c r="AR76" s="101">
        <f t="shared" si="60"/>
        <v>2067</v>
      </c>
      <c r="AS76" s="101">
        <f t="shared" si="60"/>
        <v>2068</v>
      </c>
      <c r="AT76" s="101">
        <f t="shared" si="60"/>
        <v>2069</v>
      </c>
      <c r="AU76" s="101">
        <f t="shared" si="60"/>
        <v>2070</v>
      </c>
      <c r="AV76" s="101">
        <f t="shared" si="60"/>
        <v>2071</v>
      </c>
      <c r="AW76" s="101">
        <f t="shared" si="60"/>
        <v>2072</v>
      </c>
      <c r="AX76" s="101">
        <f t="shared" si="60"/>
        <v>2073</v>
      </c>
      <c r="AY76" s="101">
        <f t="shared" si="60"/>
        <v>2074</v>
      </c>
      <c r="AZ76" s="101">
        <f t="shared" si="60"/>
        <v>2075</v>
      </c>
      <c r="BA76" s="101">
        <f t="shared" si="60"/>
        <v>2076</v>
      </c>
      <c r="BB76" s="101">
        <f t="shared" si="60"/>
        <v>2077</v>
      </c>
      <c r="BC76" s="101">
        <f t="shared" si="60"/>
        <v>2078</v>
      </c>
      <c r="BD76" s="101">
        <f t="shared" si="60"/>
        <v>2079</v>
      </c>
      <c r="BE76" s="101">
        <f t="shared" si="60"/>
        <v>2080</v>
      </c>
      <c r="BF76" s="101">
        <f t="shared" si="60"/>
        <v>2081</v>
      </c>
      <c r="BG76" s="101">
        <f t="shared" si="60"/>
        <v>2082</v>
      </c>
      <c r="BH76" s="101">
        <f t="shared" si="60"/>
        <v>2083</v>
      </c>
      <c r="BI76" s="101">
        <f t="shared" si="60"/>
        <v>2084</v>
      </c>
      <c r="BJ76" s="101">
        <f t="shared" si="60"/>
        <v>2085</v>
      </c>
      <c r="BK76" s="101">
        <f t="shared" si="60"/>
        <v>2086</v>
      </c>
      <c r="BL76" s="101" t="s">
        <v>501</v>
      </c>
    </row>
    <row r="77" spans="2:64">
      <c r="B77" t="s">
        <v>802</v>
      </c>
      <c r="C77" s="153">
        <f>C6*1000*C$70/100</f>
        <v>0</v>
      </c>
      <c r="D77" s="153">
        <f ca="1">(((D6+Detached!$E$135)-(SAP!$C$217*Detached!$E$135))*1000*D$70/100)-((Detached!$E$135*(1-SAP!$C$217))*1000*D$72/100)</f>
        <v>106918.31153700047</v>
      </c>
      <c r="E77" s="153">
        <f ca="1">(((E6+Detached!$E$135)-(SAP!$C$217*Detached!$E$135))*1000*E$70/100)-((Detached!$E$135*(1-SAP!$C$217))*1000*E$72/100)</f>
        <v>104264.79460214199</v>
      </c>
      <c r="F77" s="153">
        <f ca="1">(((F6+Detached!$E$135)-(SAP!$C$217*Detached!$E$135))*1000*F$70/100)-((Detached!$E$135*(1-SAP!$C$217))*1000*F$72/100)</f>
        <v>97816.660655607542</v>
      </c>
      <c r="G77" s="153">
        <f ca="1">(((G6+Detached!$E$135)-(SAP!$C$217*Detached!$E$135))*1000*G$70/100)-((Detached!$E$135*(1-SAP!$C$217))*1000*G$72/100)</f>
        <v>97212.832078418141</v>
      </c>
      <c r="H77" s="153">
        <f ca="1">(((H6+Detached!$E$135)-(SAP!$C$217*Detached!$E$135))*1000*H$70/100)-((Detached!$E$135*(1-SAP!$C$217))*1000*H$72/100)</f>
        <v>95951.350176420936</v>
      </c>
      <c r="I77" s="153">
        <f ca="1">(((I6+Detached!$E$135)-(SAP!$C$217*Detached!$E$135))*1000*I$70/100)-((Detached!$E$135*(1-SAP!$C$217))*1000*I$72/100)</f>
        <v>93130.012228620239</v>
      </c>
      <c r="J77" s="153">
        <f ca="1">(((J6+Detached!$E$135)-(SAP!$C$217*Detached!$E$135))*1000*J$70/100)-((Detached!$E$135*(1-SAP!$C$217))*1000*J$72/100)</f>
        <v>89878.231178877468</v>
      </c>
      <c r="K77" s="153">
        <f ca="1">(((K6+Detached!$E$135)-(SAP!$C$217*Detached!$E$135))*1000*K$70/100)-((Detached!$E$135*(1-SAP!$C$217))*1000*K$72/100)</f>
        <v>87553.988114309919</v>
      </c>
      <c r="L77" s="153">
        <f ca="1">(((L6+Detached!$E$135)-(SAP!$C$217*Detached!$E$135))*1000*L$70/100)-((Detached!$E$135*(1-SAP!$C$217))*1000*L$72/100)</f>
        <v>82290.797526911294</v>
      </c>
      <c r="M77" s="153">
        <f ca="1">(((M6+Detached!$E$135)-(SAP!$C$217*Detached!$E$135))*1000*M$70/100)-((Detached!$E$135*(1-SAP!$C$217))*1000*M$72/100)</f>
        <v>79508.016934213796</v>
      </c>
      <c r="N77" s="153">
        <f ca="1">(((N6+Detached!$E$135)-(SAP!$C$217*Detached!$E$135))*1000*N$70/100)-((Detached!$E$135*(1-SAP!$C$217))*1000*N$72/100)</f>
        <v>76819.340033056811</v>
      </c>
      <c r="O77" s="153">
        <f ca="1">(((O6+Detached!$E$135)-(SAP!$C$217*Detached!$E$135))*1000*O$70/100)-((Detached!$E$135*(1-SAP!$C$217))*1000*O$72/100)</f>
        <v>74221.584573001775</v>
      </c>
      <c r="P77" s="153">
        <f ca="1">(((P6+Detached!$E$135)-(SAP!$C$217*Detached!$E$135))*1000*P$70/100)-((Detached!$E$135*(1-SAP!$C$217))*1000*P$72/100)</f>
        <v>71711.67591594375</v>
      </c>
      <c r="Q77" s="153">
        <f ca="1">(((Q6+Detached!$E$135)-(SAP!$C$217*Detached!$E$135))*1000*Q$70/100)-((Detached!$E$135*(1-SAP!$C$217))*1000*Q$72/100)</f>
        <v>69286.643397047097</v>
      </c>
      <c r="R77" s="153">
        <f ca="1">(((R6+Detached!$E$135)-(SAP!$C$217*Detached!$E$135))*1000*R$70/100)-((Detached!$E$135*(1-SAP!$C$217))*1000*R$72/100)</f>
        <v>66943.61680874115</v>
      </c>
      <c r="S77" s="153">
        <f ca="1">(((S6+Detached!$E$135)-(SAP!$C$217*Detached!$E$135))*1000*S$70/100)-((Detached!$E$135*(1-SAP!$C$217))*1000*S$72/100)</f>
        <v>64679.823003614656</v>
      </c>
      <c r="T77" s="153">
        <f ca="1">(((T6+Detached!$E$135)-(SAP!$C$217*Detached!$E$135))*1000*T$70/100)-((Detached!$E$135*(1-SAP!$C$217))*1000*T$72/100)</f>
        <v>62492.582612188082</v>
      </c>
      <c r="U77" s="153">
        <f ca="1">(((U6+Detached!$E$135)-(SAP!$C$217*Detached!$E$135))*1000*U$70/100)-((Detached!$E$135*(1-SAP!$C$217))*1000*U$72/100)</f>
        <v>60379.306871679306</v>
      </c>
      <c r="V77" s="153">
        <f ca="1">(((V6+Detached!$E$135)-(SAP!$C$217*Detached!$E$135))*1000*V$70/100)-((Detached!$E$135*(1-SAP!$C$217))*1000*V$72/100)</f>
        <v>58337.494562008993</v>
      </c>
      <c r="W77" s="153">
        <f ca="1">(((W6+Detached!$E$135)-(SAP!$C$217*Detached!$E$135))*1000*W$70/100)-((Detached!$E$135*(1-SAP!$C$217))*1000*W$72/100)</f>
        <v>56364.729045419328</v>
      </c>
      <c r="X77" s="153">
        <f ca="1">(((X6+Detached!$E$135)-(SAP!$C$217*Detached!$E$135))*1000*X$70/100)-((Detached!$E$135*(1-SAP!$C$217))*1000*X$72/100)</f>
        <v>54458.675406202245</v>
      </c>
      <c r="Y77" s="153">
        <f ca="1">(((Y6+Detached!$E$135)-(SAP!$C$217*Detached!$E$135))*1000*Y$70/100)-((Detached!$E$135*(1-SAP!$C$217))*1000*Y$72/100)</f>
        <v>52617.077687151919</v>
      </c>
      <c r="Z77" s="153">
        <f ca="1">(((Z6+Detached!$E$135)-(SAP!$C$217*Detached!$E$135))*1000*Z$70/100)-((Detached!$E$135*(1-SAP!$C$217))*1000*Z$72/100)</f>
        <v>50837.756219470466</v>
      </c>
      <c r="AA77" s="153">
        <f ca="1">(((AA6+Detached!$E$135)-(SAP!$C$217*Detached!$E$135))*1000*AA$70/100)-((Detached!$E$135*(1-SAP!$C$217))*1000*AA$72/100)</f>
        <v>49118.605042966643</v>
      </c>
      <c r="AB77" s="153">
        <f ca="1">(((AB6+Detached!$E$135)-(SAP!$C$217*Detached!$E$135))*1000*AB$70/100)-((Detached!$E$135*(1-SAP!$C$217))*1000*AB$72/100)</f>
        <v>47457.589413494345</v>
      </c>
      <c r="AC77" s="153">
        <f ca="1">(((AC6+Detached!$E$135)-(SAP!$C$217*Detached!$E$135))*1000*AC$70/100)-((Detached!$E$135*(1-SAP!$C$217))*1000*AC$72/100)</f>
        <v>45852.743394680539</v>
      </c>
      <c r="AD77" s="153">
        <f ca="1">(((AD6+Detached!$E$135)-(SAP!$C$217*Detached!$E$135))*1000*AD$70/100)-((Detached!$E$135*(1-SAP!$C$217))*1000*AD$72/100)</f>
        <v>44302.167531092302</v>
      </c>
      <c r="AE77" s="153">
        <f ca="1">(((AE6+Detached!$E$135)-(SAP!$C$217*Detached!$E$135))*1000*AE$70/100)-((Detached!$E$135*(1-SAP!$C$217))*1000*AE$72/100)</f>
        <v>42804.026600089186</v>
      </c>
      <c r="AF77" s="153">
        <f ca="1">(((AF6+Detached!$E$135)-(SAP!$C$217*Detached!$E$135))*1000*AF$70/100)-((Detached!$E$135*(1-SAP!$C$217))*1000*AF$72/100)</f>
        <v>41356.547439699701</v>
      </c>
      <c r="AG77" s="153">
        <f ca="1">(((AG6+Detached!$E$135)-(SAP!$C$217*Detached!$E$135))*1000*AG$70/100)-((Detached!$E$135*(1-SAP!$C$217))*1000*AG$72/100)</f>
        <v>39958.016849951404</v>
      </c>
      <c r="AH77" s="153">
        <f ca="1">(((AH6+Detached!$E$135)-(SAP!$C$217*Detached!$E$135))*1000*AH$70/100)-((Detached!$E$135*(1-SAP!$C$217))*1000*AH$72/100)</f>
        <v>38794.191116457674</v>
      </c>
      <c r="AI77" s="153">
        <f ca="1">(((AI6+Detached!$E$135)-(SAP!$C$217*Detached!$E$135))*1000*AI$70/100)-((Detached!$E$135*(1-SAP!$C$217))*1000*AI$72/100)</f>
        <v>37664.263219861823</v>
      </c>
      <c r="AJ77" s="153">
        <f ca="1">(((AJ6+Detached!$E$135)-(SAP!$C$217*Detached!$E$135))*1000*AJ$70/100)-((Detached!$E$135*(1-SAP!$C$217))*1000*AJ$72/100)</f>
        <v>36567.245844526042</v>
      </c>
      <c r="AK77" s="153">
        <f ca="1">(((AK6+Detached!$E$135)-(SAP!$C$217*Detached!$E$135))*1000*AK$70/100)-((Detached!$E$135*(1-SAP!$C$217))*1000*AK$72/100)</f>
        <v>35502.180431578679</v>
      </c>
      <c r="AL77" s="153">
        <f ca="1">(((AL6+Detached!$E$135)-(SAP!$C$217*Detached!$E$135))*1000*AL$70/100)-((Detached!$E$135*(1-SAP!$C$217))*1000*AL$72/100)</f>
        <v>34468.136341338519</v>
      </c>
      <c r="AM77" s="153">
        <f ca="1">(((AM6+Detached!$E$135)-(SAP!$C$217*Detached!$E$135))*1000*AM$70/100)-((Detached!$E$135*(1-SAP!$C$217))*1000*AM$72/100)</f>
        <v>33464.210040134487</v>
      </c>
      <c r="AN77" s="153">
        <f ca="1">(((AN6+Detached!$E$135)-(SAP!$C$217*Detached!$E$135))*1000*AN$70/100)-((Detached!$E$135*(1-SAP!$C$217))*1000*AN$72/100)</f>
        <v>32489.524310810182</v>
      </c>
      <c r="AO77" s="153">
        <f ca="1">(((AO6+Detached!$E$135)-(SAP!$C$217*Detached!$E$135))*1000*AO$70/100)-((Detached!$E$135*(1-SAP!$C$217))*1000*AO$72/100)</f>
        <v>31543.227486223477</v>
      </c>
      <c r="AP77" s="153">
        <f ca="1">(((AP6+Detached!$E$135)-(SAP!$C$217*Detached!$E$135))*1000*AP$70/100)-((Detached!$E$135*(1-SAP!$C$217))*1000*AP$72/100)</f>
        <v>30624.492705071345</v>
      </c>
      <c r="AQ77" s="153">
        <f ca="1">(((AQ6+Detached!$E$135)-(SAP!$C$217*Detached!$E$135))*1000*AQ$70/100)-((Detached!$E$135*(1-SAP!$C$217))*1000*AQ$72/100)</f>
        <v>29732.517189389651</v>
      </c>
      <c r="AR77" s="153">
        <f ca="1">(((AR6+Detached!$E$135)-(SAP!$C$217*Detached!$E$135))*1000*AR$70/100)-((Detached!$E$135*(1-SAP!$C$217))*1000*AR$72/100)</f>
        <v>28866.521543096751</v>
      </c>
      <c r="AS77" s="153">
        <f ca="1">(((AS6+Detached!$E$135)-(SAP!$C$217*Detached!$E$135))*1000*AS$70/100)-((Detached!$E$135*(1-SAP!$C$217))*1000*AS$72/100)</f>
        <v>28025.749070967722</v>
      </c>
      <c r="AT77" s="153">
        <f ca="1">(((AT6+Detached!$E$135)-(SAP!$C$217*Detached!$E$135))*1000*AT$70/100)-((Detached!$E$135*(1-SAP!$C$217))*1000*AT$72/100)</f>
        <v>27209.465117444386</v>
      </c>
      <c r="AU77" s="153">
        <f ca="1">(((AU6+Detached!$E$135)-(SAP!$C$217*Detached!$E$135))*1000*AU$70/100)-((Detached!$E$135*(1-SAP!$C$217))*1000*AU$72/100)</f>
        <v>26416.95642470329</v>
      </c>
      <c r="AV77" s="153">
        <f ca="1">(((AV6+Detached!$E$135)-(SAP!$C$217*Detached!$E$135))*1000*AV$70/100)-((Detached!$E$135*(1-SAP!$C$217))*1000*AV$72/100)</f>
        <v>25647.530509420667</v>
      </c>
      <c r="AW77" s="153">
        <f ca="1">(((AW6+Detached!$E$135)-(SAP!$C$217*Detached!$E$135))*1000*AW$70/100)-((Detached!$E$135*(1-SAP!$C$217))*1000*AW$72/100)</f>
        <v>24900.515057689965</v>
      </c>
      <c r="AX77" s="153">
        <f ca="1">(((AX6+Detached!$E$135)-(SAP!$C$217*Detached!$E$135))*1000*AX$70/100)-((Detached!$E$135*(1-SAP!$C$217))*1000*AX$72/100)</f>
        <v>24175.257337563078</v>
      </c>
      <c r="AY77" s="153">
        <f ca="1">(((AY6+Detached!$E$135)-(SAP!$C$217*Detached!$E$135))*1000*AY$70/100)-((Detached!$E$135*(1-SAP!$C$217))*1000*AY$72/100)</f>
        <v>23471.123628702015</v>
      </c>
      <c r="AZ77" s="153">
        <f ca="1">(((AZ6+Detached!$E$135)-(SAP!$C$217*Detached!$E$135))*1000*AZ$70/100)-((Detached!$E$135*(1-SAP!$C$217))*1000*AZ$72/100)</f>
        <v>22787.498668642736</v>
      </c>
      <c r="BA77" s="153">
        <f ca="1">(((BA6+Detached!$E$135)-(SAP!$C$217*Detached!$E$135))*1000*BA$70/100)-((Detached!$E$135*(1-SAP!$C$217))*1000*BA$72/100)</f>
        <v>22123.785115187118</v>
      </c>
      <c r="BB77" s="153">
        <f ca="1">(((BB6+Detached!$E$135)-(SAP!$C$217*Detached!$E$135))*1000*BB$70/100)-((Detached!$E$135*(1-SAP!$C$217))*1000*BB$72/100)</f>
        <v>21479.403024453513</v>
      </c>
      <c r="BC77" s="153">
        <f ca="1">(((BC6+Detached!$E$135)-(SAP!$C$217*Detached!$E$135))*1000*BC$70/100)-((Detached!$E$135*(1-SAP!$C$217))*1000*BC$72/100)</f>
        <v>20853.789344129626</v>
      </c>
      <c r="BD77" s="153">
        <f ca="1">(((BD6+Detached!$E$135)-(SAP!$C$217*Detached!$E$135))*1000*BD$70/100)-((Detached!$E$135*(1-SAP!$C$217))*1000*BD$72/100)</f>
        <v>20246.397421485071</v>
      </c>
      <c r="BE77" s="153">
        <f ca="1">(((BE6+Detached!$E$135)-(SAP!$C$217*Detached!$E$135))*1000*BE$70/100)-((Detached!$E$135*(1-SAP!$C$217))*1000*BE$72/100)</f>
        <v>19656.696525713665</v>
      </c>
      <c r="BF77" s="153">
        <f ca="1">(((BF6+Detached!$E$135)-(SAP!$C$217*Detached!$E$135))*1000*BF$70/100)-((Detached!$E$135*(1-SAP!$C$217))*1000*BF$72/100)</f>
        <v>19084.171384188023</v>
      </c>
      <c r="BG77" s="153">
        <f ca="1">(((BG6+Detached!$E$135)-(SAP!$C$217*Detached!$E$135))*1000*BG$70/100)-((Detached!$E$135*(1-SAP!$C$217))*1000*BG$72/100)</f>
        <v>18528.321732221379</v>
      </c>
      <c r="BH77" s="153">
        <f ca="1">(((BH6+Detached!$E$135)-(SAP!$C$217*Detached!$E$135))*1000*BH$70/100)-((Detached!$E$135*(1-SAP!$C$217))*1000*BH$72/100)</f>
        <v>17988.661875943089</v>
      </c>
      <c r="BI77" s="153">
        <f ca="1">(((BI6+Detached!$E$135)-(SAP!$C$217*Detached!$E$135))*1000*BI$70/100)-((Detached!$E$135*(1-SAP!$C$217))*1000*BI$72/100)</f>
        <v>17464.720267905908</v>
      </c>
      <c r="BJ77" s="153">
        <f ca="1">(((BJ6+Detached!$E$135)-(SAP!$C$217*Detached!$E$135))*1000*BJ$70/100)-((Detached!$E$135*(1-SAP!$C$217))*1000*BJ$72/100)</f>
        <v>16956.039095054282</v>
      </c>
      <c r="BK77" s="153">
        <f ca="1">(((BK6+Detached!$E$135)-(SAP!$C$217*Detached!$E$135))*1000*BK$70/100)-((Detached!$E$135*(1-SAP!$C$217))*1000*BK$72/100)</f>
        <v>16462.17387869348</v>
      </c>
      <c r="BL77" s="154">
        <f ca="1">SUM(C77:BK77)</f>
        <v>2847719.7631486189</v>
      </c>
    </row>
    <row r="78" spans="2:64">
      <c r="B78" t="s">
        <v>803</v>
      </c>
      <c r="C78" s="153">
        <f>C7*1000*C$70/100</f>
        <v>0</v>
      </c>
      <c r="D78" s="153">
        <f ca="1">(((D7+Attached!$E$135)-(SAP!$C$217*Attached!$E$135))*1000*D$70/100)-((Attached!$E$135*(1-SAP!$C$217))*1000*D$72/100)</f>
        <v>231821.77961671512</v>
      </c>
      <c r="E78" s="153">
        <f ca="1">(((E7+Attached!$E$135)-(SAP!$C$217*Attached!$E$135))*1000*E$70/100)-((Attached!$E$135*(1-SAP!$C$217))*1000*E$72/100)</f>
        <v>226068.38705711506</v>
      </c>
      <c r="F78" s="153">
        <f ca="1">(((F7+Attached!$E$135)-(SAP!$C$217*Attached!$E$135))*1000*F$70/100)-((Attached!$E$135*(1-SAP!$C$217))*1000*F$72/100)</f>
        <v>212087.45277931116</v>
      </c>
      <c r="G78" s="153">
        <f ca="1">(((G7+Attached!$E$135)-(SAP!$C$217*Attached!$E$135))*1000*G$70/100)-((Attached!$E$135*(1-SAP!$C$217))*1000*G$72/100)</f>
        <v>210778.22320642331</v>
      </c>
      <c r="H78" s="153">
        <f ca="1">(((H7+Attached!$E$135)-(SAP!$C$217*Attached!$E$135))*1000*H$70/100)-((Attached!$E$135*(1-SAP!$C$217))*1000*H$72/100)</f>
        <v>208043.06048947311</v>
      </c>
      <c r="I78" s="153">
        <f ca="1">(((I7+Attached!$E$135)-(SAP!$C$217*Attached!$E$135))*1000*I$70/100)-((Attached!$E$135*(1-SAP!$C$217))*1000*I$72/100)</f>
        <v>201925.79606061065</v>
      </c>
      <c r="J78" s="153">
        <f ca="1">(((J7+Attached!$E$135)-(SAP!$C$217*Attached!$E$135))*1000*J$70/100)-((Attached!$E$135*(1-SAP!$C$217))*1000*J$72/100)</f>
        <v>194875.23887317872</v>
      </c>
      <c r="K78" s="153">
        <f ca="1">(((K7+Attached!$E$135)-(SAP!$C$217*Attached!$E$135))*1000*K$70/100)-((Attached!$E$135*(1-SAP!$C$217))*1000*K$72/100)</f>
        <v>189835.78252801008</v>
      </c>
      <c r="L78" s="153">
        <f ca="1">(((L7+Attached!$E$135)-(SAP!$C$217*Attached!$E$135))*1000*L$70/100)-((Attached!$E$135*(1-SAP!$C$217))*1000*L$72/100)</f>
        <v>178424.05902720959</v>
      </c>
      <c r="M78" s="153">
        <f ca="1">(((M7+Attached!$E$135)-(SAP!$C$217*Attached!$E$135))*1000*M$70/100)-((Attached!$E$135*(1-SAP!$C$217))*1000*M$72/100)</f>
        <v>172390.39519537162</v>
      </c>
      <c r="N78" s="153">
        <f ca="1">(((N7+Attached!$E$135)-(SAP!$C$217*Attached!$E$135))*1000*N$70/100)-((Attached!$E$135*(1-SAP!$C$217))*1000*N$72/100)</f>
        <v>166560.76830470687</v>
      </c>
      <c r="O78" s="153">
        <f ca="1">(((O7+Attached!$E$135)-(SAP!$C$217*Attached!$E$135))*1000*O$70/100)-((Attached!$E$135*(1-SAP!$C$217))*1000*O$72/100)</f>
        <v>160928.27855527235</v>
      </c>
      <c r="P78" s="153">
        <f ca="1">(((P7+Attached!$E$135)-(SAP!$C$217*Attached!$E$135))*1000*P$70/100)-((Attached!$E$135*(1-SAP!$C$217))*1000*P$72/100)</f>
        <v>155486.25947369312</v>
      </c>
      <c r="Q78" s="153">
        <f ca="1">(((Q7+Attached!$E$135)-(SAP!$C$217*Attached!$E$135))*1000*Q$70/100)-((Attached!$E$135*(1-SAP!$C$217))*1000*Q$72/100)</f>
        <v>150228.27002289193</v>
      </c>
      <c r="R78" s="153">
        <f ca="1">(((R7+Attached!$E$135)-(SAP!$C$217*Attached!$E$135))*1000*R$70/100)-((Attached!$E$135*(1-SAP!$C$217))*1000*R$72/100)</f>
        <v>145148.08697863951</v>
      </c>
      <c r="S78" s="153">
        <f ca="1">(((S7+Attached!$E$135)-(SAP!$C$217*Attached!$E$135))*1000*S$70/100)-((Attached!$E$135*(1-SAP!$C$217))*1000*S$72/100)</f>
        <v>140239.69756390294</v>
      </c>
      <c r="T78" s="153">
        <f ca="1">(((T7+Attached!$E$135)-(SAP!$C$217*Attached!$E$135))*1000*T$70/100)-((Attached!$E$135*(1-SAP!$C$217))*1000*T$72/100)</f>
        <v>135497.29233227338</v>
      </c>
      <c r="U78" s="153">
        <f ca="1">(((U7+Attached!$E$135)-(SAP!$C$217*Attached!$E$135))*1000*U$70/100)-((Attached!$E$135*(1-SAP!$C$217))*1000*U$72/100)</f>
        <v>130915.25829205159</v>
      </c>
      <c r="V78" s="153">
        <f ca="1">(((V7+Attached!$E$135)-(SAP!$C$217*Attached!$E$135))*1000*V$70/100)-((Attached!$E$135*(1-SAP!$C$217))*1000*V$72/100)</f>
        <v>126488.17226285177</v>
      </c>
      <c r="W78" s="153">
        <f ca="1">(((W7+Attached!$E$135)-(SAP!$C$217*Attached!$E$135))*1000*W$70/100)-((Attached!$E$135*(1-SAP!$C$217))*1000*W$72/100)</f>
        <v>122210.79445686162</v>
      </c>
      <c r="X78" s="153">
        <f ca="1">(((X7+Attached!$E$135)-(SAP!$C$217*Attached!$E$135))*1000*X$70/100)-((Attached!$E$135*(1-SAP!$C$217))*1000*X$72/100)</f>
        <v>118078.06227716101</v>
      </c>
      <c r="Y78" s="153">
        <f ca="1">(((Y7+Attached!$E$135)-(SAP!$C$217*Attached!$E$135))*1000*Y$70/100)-((Attached!$E$135*(1-SAP!$C$217))*1000*Y$72/100)</f>
        <v>114085.08432575941</v>
      </c>
      <c r="Z78" s="153">
        <f ca="1">(((Z7+Attached!$E$135)-(SAP!$C$217*Attached!$E$135))*1000*Z$70/100)-((Attached!$E$135*(1-SAP!$C$217))*1000*Z$72/100)</f>
        <v>110227.13461426033</v>
      </c>
      <c r="AA78" s="153">
        <f ca="1">(((AA7+Attached!$E$135)-(SAP!$C$217*Attached!$E$135))*1000*AA$70/100)-((Attached!$E$135*(1-SAP!$C$217))*1000*AA$72/100)</f>
        <v>106499.64697029984</v>
      </c>
      <c r="AB78" s="153">
        <f ca="1">(((AB7+Attached!$E$135)-(SAP!$C$217*Attached!$E$135))*1000*AB$70/100)-((Attached!$E$135*(1-SAP!$C$217))*1000*AB$72/100)</f>
        <v>102898.20963313997</v>
      </c>
      <c r="AC78" s="153">
        <f ca="1">(((AC7+Attached!$E$135)-(SAP!$C$217*Attached!$E$135))*1000*AC$70/100)-((Attached!$E$135*(1-SAP!$C$217))*1000*AC$72/100)</f>
        <v>99418.56003201929</v>
      </c>
      <c r="AD78" s="153">
        <f ca="1">(((AD7+Attached!$E$135)-(SAP!$C$217*Attached!$E$135))*1000*AD$70/100)-((Attached!$E$135*(1-SAP!$C$217))*1000*AD$72/100)</f>
        <v>96056.579741081456</v>
      </c>
      <c r="AE78" s="153">
        <f ca="1">(((AE7+Attached!$E$135)-(SAP!$C$217*Attached!$E$135))*1000*AE$70/100)-((Attached!$E$135*(1-SAP!$C$217))*1000*AE$72/100)</f>
        <v>92808.289604909645</v>
      </c>
      <c r="AF78" s="153">
        <f ca="1">(((AF7+Attached!$E$135)-(SAP!$C$217*Attached!$E$135))*1000*AF$70/100)-((Attached!$E$135*(1-SAP!$C$217))*1000*AF$72/100)</f>
        <v>89669.845028898199</v>
      </c>
      <c r="AG78" s="153">
        <f ca="1">(((AG7+Attached!$E$135)-(SAP!$C$217*Attached!$E$135))*1000*AG$70/100)-((Attached!$E$135*(1-SAP!$C$217))*1000*AG$72/100)</f>
        <v>86637.531428887145</v>
      </c>
      <c r="AH78" s="153">
        <f ca="1">(((AH7+Attached!$E$135)-(SAP!$C$217*Attached!$E$135))*1000*AH$70/100)-((Attached!$E$135*(1-SAP!$C$217))*1000*AH$72/100)</f>
        <v>84114.108183385571</v>
      </c>
      <c r="AI78" s="153">
        <f ca="1">(((AI7+Attached!$E$135)-(SAP!$C$217*Attached!$E$135))*1000*AI$70/100)-((Attached!$E$135*(1-SAP!$C$217))*1000*AI$72/100)</f>
        <v>81664.182702316117</v>
      </c>
      <c r="AJ78" s="153">
        <f ca="1">(((AJ7+Attached!$E$135)-(SAP!$C$217*Attached!$E$135))*1000*AJ$70/100)-((Attached!$E$135*(1-SAP!$C$217))*1000*AJ$72/100)</f>
        <v>79285.614274093299</v>
      </c>
      <c r="AK78" s="153">
        <f ca="1">(((AK7+Attached!$E$135)-(SAP!$C$217*Attached!$E$135))*1000*AK$70/100)-((Attached!$E$135*(1-SAP!$C$217))*1000*AK$72/100)</f>
        <v>76976.324537954672</v>
      </c>
      <c r="AL78" s="153">
        <f ca="1">(((AL7+Attached!$E$135)-(SAP!$C$217*Attached!$E$135))*1000*AL$70/100)-((Attached!$E$135*(1-SAP!$C$217))*1000*AL$72/100)</f>
        <v>74734.295667917133</v>
      </c>
      <c r="AM78" s="153">
        <f ca="1">(((AM7+Attached!$E$135)-(SAP!$C$217*Attached!$E$135))*1000*AM$70/100)-((Attached!$E$135*(1-SAP!$C$217))*1000*AM$72/100)</f>
        <v>72557.568609628303</v>
      </c>
      <c r="AN78" s="153">
        <f ca="1">(((AN7+Attached!$E$135)-(SAP!$C$217*Attached!$E$135))*1000*AN$70/100)-((Attached!$E$135*(1-SAP!$C$217))*1000*AN$72/100)</f>
        <v>70444.241368571151</v>
      </c>
      <c r="AO78" s="153">
        <f ca="1">(((AO7+Attached!$E$135)-(SAP!$C$217*Attached!$E$135))*1000*AO$70/100)-((Attached!$E$135*(1-SAP!$C$217))*1000*AO$72/100)</f>
        <v>68392.467348127335</v>
      </c>
      <c r="AP78" s="153">
        <f ca="1">(((AP7+Attached!$E$135)-(SAP!$C$217*Attached!$E$135))*1000*AP$70/100)-((Attached!$E$135*(1-SAP!$C$217))*1000*AP$72/100)</f>
        <v>66400.453736045965</v>
      </c>
      <c r="AQ78" s="153">
        <f ca="1">(((AQ7+Attached!$E$135)-(SAP!$C$217*Attached!$E$135))*1000*AQ$70/100)-((Attached!$E$135*(1-SAP!$C$217))*1000*AQ$72/100)</f>
        <v>64466.459937908709</v>
      </c>
      <c r="AR78" s="153">
        <f ca="1">(((AR7+Attached!$E$135)-(SAP!$C$217*Attached!$E$135))*1000*AR$70/100)-((Attached!$E$135*(1-SAP!$C$217))*1000*AR$72/100)</f>
        <v>62588.796056222032</v>
      </c>
      <c r="AS78" s="153">
        <f ca="1">(((AS7+Attached!$E$135)-(SAP!$C$217*Attached!$E$135))*1000*AS$70/100)-((Attached!$E$135*(1-SAP!$C$217))*1000*AS$72/100)</f>
        <v>60765.821413807811</v>
      </c>
      <c r="AT78" s="153">
        <f ca="1">(((AT7+Attached!$E$135)-(SAP!$C$217*Attached!$E$135))*1000*AT$70/100)-((Attached!$E$135*(1-SAP!$C$217))*1000*AT$72/100)</f>
        <v>58995.943120201766</v>
      </c>
      <c r="AU78" s="153">
        <f ca="1">(((AU7+Attached!$E$135)-(SAP!$C$217*Attached!$E$135))*1000*AU$70/100)-((Attached!$E$135*(1-SAP!$C$217))*1000*AU$72/100)</f>
        <v>57277.614679807528</v>
      </c>
      <c r="AV78" s="153">
        <f ca="1">(((AV7+Attached!$E$135)-(SAP!$C$217*Attached!$E$135))*1000*AV$70/100)-((Attached!$E$135*(1-SAP!$C$217))*1000*AV$72/100)</f>
        <v>55609.334640589841</v>
      </c>
      <c r="AW78" s="153">
        <f ca="1">(((AW7+Attached!$E$135)-(SAP!$C$217*Attached!$E$135))*1000*AW$70/100)-((Attached!$E$135*(1-SAP!$C$217))*1000*AW$72/100)</f>
        <v>53989.645282126054</v>
      </c>
      <c r="AX78" s="153">
        <f ca="1">(((AX7+Attached!$E$135)-(SAP!$C$217*Attached!$E$135))*1000*AX$70/100)-((Attached!$E$135*(1-SAP!$C$217))*1000*AX$72/100)</f>
        <v>52417.13134186995</v>
      </c>
      <c r="AY78" s="153">
        <f ca="1">(((AY7+Attached!$E$135)-(SAP!$C$217*Attached!$E$135))*1000*AY$70/100)-((Attached!$E$135*(1-SAP!$C$217))*1000*AY$72/100)</f>
        <v>50890.418778514533</v>
      </c>
      <c r="AZ78" s="153">
        <f ca="1">(((AZ7+Attached!$E$135)-(SAP!$C$217*Attached!$E$135))*1000*AZ$70/100)-((Attached!$E$135*(1-SAP!$C$217))*1000*AZ$72/100)</f>
        <v>49408.173571373321</v>
      </c>
      <c r="BA78" s="153">
        <f ca="1">(((BA7+Attached!$E$135)-(SAP!$C$217*Attached!$E$135))*1000*BA$70/100)-((Attached!$E$135*(1-SAP!$C$217))*1000*BA$72/100)</f>
        <v>47969.100554731376</v>
      </c>
      <c r="BB78" s="153">
        <f ca="1">(((BB7+Attached!$E$135)-(SAP!$C$217*Attached!$E$135))*1000*BB$70/100)-((Attached!$E$135*(1-SAP!$C$217))*1000*BB$72/100)</f>
        <v>46571.942286146965</v>
      </c>
      <c r="BC78" s="153">
        <f ca="1">(((BC7+Attached!$E$135)-(SAP!$C$217*Attached!$E$135))*1000*BC$70/100)-((Attached!$E$135*(1-SAP!$C$217))*1000*BC$72/100)</f>
        <v>45215.47794771551</v>
      </c>
      <c r="BD78" s="153">
        <f ca="1">(((BD7+Attached!$E$135)-(SAP!$C$217*Attached!$E$135))*1000*BD$70/100)-((Attached!$E$135*(1-SAP!$C$217))*1000*BD$72/100)</f>
        <v>43898.522279335441</v>
      </c>
      <c r="BE78" s="153">
        <f ca="1">(((BE7+Attached!$E$135)-(SAP!$C$217*Attached!$E$135))*1000*BE$70/100)-((Attached!$E$135*(1-SAP!$C$217))*1000*BE$72/100)</f>
        <v>42619.924543044122</v>
      </c>
      <c r="BF78" s="153">
        <f ca="1">(((BF7+Attached!$E$135)-(SAP!$C$217*Attached!$E$135))*1000*BF$70/100)-((Attached!$E$135*(1-SAP!$C$217))*1000*BF$72/100)</f>
        <v>41378.567517518561</v>
      </c>
      <c r="BG78" s="153">
        <f ca="1">(((BG7+Attached!$E$135)-(SAP!$C$217*Attached!$E$135))*1000*BG$70/100)-((Attached!$E$135*(1-SAP!$C$217))*1000*BG$72/100)</f>
        <v>40173.36652186267</v>
      </c>
      <c r="BH78" s="153">
        <f ca="1">(((BH7+Attached!$E$135)-(SAP!$C$217*Attached!$E$135))*1000*BH$70/100)-((Attached!$E$135*(1-SAP!$C$217))*1000*BH$72/100)</f>
        <v>39003.268467827846</v>
      </c>
      <c r="BI78" s="153">
        <f ca="1">(((BI7+Attached!$E$135)-(SAP!$C$217*Attached!$E$135))*1000*BI$70/100)-((Attached!$E$135*(1-SAP!$C$217))*1000*BI$72/100)</f>
        <v>37867.250939638681</v>
      </c>
      <c r="BJ78" s="153">
        <f ca="1">(((BJ7+Attached!$E$135)-(SAP!$C$217*Attached!$E$135))*1000*BJ$70/100)-((Attached!$E$135*(1-SAP!$C$217))*1000*BJ$72/100)</f>
        <v>36764.321300620082</v>
      </c>
      <c r="BK78" s="153">
        <f ca="1">(((BK7+Attached!$E$135)-(SAP!$C$217*Attached!$E$135))*1000*BK$70/100)-((Attached!$E$135*(1-SAP!$C$217))*1000*BK$72/100)</f>
        <v>35693.515825844741</v>
      </c>
      <c r="BL78" s="154">
        <f t="shared" ref="BL78:BL87" ca="1" si="61">SUM(C78:BK78)</f>
        <v>6174465.8501677271</v>
      </c>
    </row>
    <row r="79" spans="2:64">
      <c r="B79" t="s">
        <v>804</v>
      </c>
      <c r="C79" s="153">
        <f>C8*1000*C$70/100</f>
        <v>0</v>
      </c>
      <c r="D79" s="153">
        <f ca="1">(((D8+'1BedFlat'!$E$135)-(SAP!$C$217*'1BedFlat'!$E$135))*1000*D$70/100)-(('1BedFlat'!$E$135*(1-SAP!$C$217))*1000*D$72/100)</f>
        <v>19363.268235411277</v>
      </c>
      <c r="E79" s="153">
        <f ca="1">(((E8+'1BedFlat'!$E$135)-(SAP!$C$217*'1BedFlat'!$E$135))*1000*E$70/100)-(('1BedFlat'!$E$135*(1-SAP!$C$217))*1000*E$72/100)</f>
        <v>18882.707333931932</v>
      </c>
      <c r="F79" s="153">
        <f ca="1">(((F8+'1BedFlat'!$E$135)-(SAP!$C$217*'1BedFlat'!$E$135))*1000*F$70/100)-(('1BedFlat'!$E$135*(1-SAP!$C$217))*1000*F$72/100)</f>
        <v>17714.928443396428</v>
      </c>
      <c r="G79" s="153">
        <f ca="1">(((G8+'1BedFlat'!$E$135)-(SAP!$C$217*'1BedFlat'!$E$135))*1000*G$70/100)-(('1BedFlat'!$E$135*(1-SAP!$C$217))*1000*G$72/100)</f>
        <v>17605.573043556626</v>
      </c>
      <c r="H79" s="153">
        <f ca="1">(((H8+'1BedFlat'!$E$135)-(SAP!$C$217*'1BedFlat'!$E$135))*1000*H$70/100)-(('1BedFlat'!$E$135*(1-SAP!$C$217))*1000*H$72/100)</f>
        <v>17377.114399837439</v>
      </c>
      <c r="I79" s="153">
        <f ca="1">(((I8+'1BedFlat'!$E$135)-(SAP!$C$217*'1BedFlat'!$E$135))*1000*I$70/100)-(('1BedFlat'!$E$135*(1-SAP!$C$217))*1000*I$72/100)</f>
        <v>16866.160544686965</v>
      </c>
      <c r="J79" s="153">
        <f ca="1">(((J8+'1BedFlat'!$E$135)-(SAP!$C$217*'1BedFlat'!$E$135))*1000*J$70/100)-(('1BedFlat'!$E$135*(1-SAP!$C$217))*1000*J$72/100)</f>
        <v>16277.251986332049</v>
      </c>
      <c r="K79" s="153">
        <f ca="1">(((K8+'1BedFlat'!$E$135)-(SAP!$C$217*'1BedFlat'!$E$135))*1000*K$70/100)-(('1BedFlat'!$E$135*(1-SAP!$C$217))*1000*K$72/100)</f>
        <v>15856.32369765494</v>
      </c>
      <c r="L79" s="153">
        <f ca="1">(((L8+'1BedFlat'!$E$135)-(SAP!$C$217*'1BedFlat'!$E$135))*1000*L$70/100)-(('1BedFlat'!$E$135*(1-SAP!$C$217))*1000*L$72/100)</f>
        <v>14903.14206157361</v>
      </c>
      <c r="M79" s="153">
        <f ca="1">(((M8+'1BedFlat'!$E$135)-(SAP!$C$217*'1BedFlat'!$E$135))*1000*M$70/100)-(('1BedFlat'!$E$135*(1-SAP!$C$217))*1000*M$72/100)</f>
        <v>14399.171073984164</v>
      </c>
      <c r="N79" s="153">
        <f ca="1">(((N8+'1BedFlat'!$E$135)-(SAP!$C$217*'1BedFlat'!$E$135))*1000*N$70/100)-(('1BedFlat'!$E$135*(1-SAP!$C$217))*1000*N$72/100)</f>
        <v>13912.242583559579</v>
      </c>
      <c r="O79" s="153">
        <f ca="1">(((O8+'1BedFlat'!$E$135)-(SAP!$C$217*'1BedFlat'!$E$135))*1000*O$70/100)-(('1BedFlat'!$E$135*(1-SAP!$C$217))*1000*O$72/100)</f>
        <v>13441.780273970609</v>
      </c>
      <c r="P79" s="153">
        <f ca="1">(((P8+'1BedFlat'!$E$135)-(SAP!$C$217*'1BedFlat'!$E$135))*1000*P$70/100)-(('1BedFlat'!$E$135*(1-SAP!$C$217))*1000*P$72/100)</f>
        <v>12987.227317846002</v>
      </c>
      <c r="Q79" s="153">
        <f ca="1">(((Q8+'1BedFlat'!$E$135)-(SAP!$C$217*'1BedFlat'!$E$135))*1000*Q$70/100)-(('1BedFlat'!$E$135*(1-SAP!$C$217))*1000*Q$72/100)</f>
        <v>12548.045717725607</v>
      </c>
      <c r="R79" s="153">
        <f ca="1">(((R8+'1BedFlat'!$E$135)-(SAP!$C$217*'1BedFlat'!$E$135))*1000*R$70/100)-(('1BedFlat'!$E$135*(1-SAP!$C$217))*1000*R$72/100)</f>
        <v>12123.715669300103</v>
      </c>
      <c r="S79" s="153">
        <f ca="1">(((S8+'1BedFlat'!$E$135)-(SAP!$C$217*'1BedFlat'!$E$135))*1000*S$70/100)-(('1BedFlat'!$E$135*(1-SAP!$C$217))*1000*S$72/100)</f>
        <v>11713.734946183673</v>
      </c>
      <c r="T79" s="153">
        <f ca="1">(((T8+'1BedFlat'!$E$135)-(SAP!$C$217*'1BedFlat'!$E$135))*1000*T$70/100)-(('1BedFlat'!$E$135*(1-SAP!$C$217))*1000*T$72/100)</f>
        <v>11317.618305491473</v>
      </c>
      <c r="U79" s="153">
        <f ca="1">(((U8+'1BedFlat'!$E$135)-(SAP!$C$217*'1BedFlat'!$E$135))*1000*U$70/100)-(('1BedFlat'!$E$135*(1-SAP!$C$217))*1000*U$72/100)</f>
        <v>10934.896913518332</v>
      </c>
      <c r="V79" s="153">
        <f ca="1">(((V8+'1BedFlat'!$E$135)-(SAP!$C$217*'1BedFlat'!$E$135))*1000*V$70/100)-(('1BedFlat'!$E$135*(1-SAP!$C$217))*1000*V$72/100)</f>
        <v>10565.117790838967</v>
      </c>
      <c r="W79" s="153">
        <f ca="1">(((W8+'1BedFlat'!$E$135)-(SAP!$C$217*'1BedFlat'!$E$135))*1000*W$70/100)-(('1BedFlat'!$E$135*(1-SAP!$C$217))*1000*W$72/100)</f>
        <v>10207.843276172918</v>
      </c>
      <c r="X79" s="153">
        <f ca="1">(((X8+'1BedFlat'!$E$135)-(SAP!$C$217*'1BedFlat'!$E$135))*1000*X$70/100)-(('1BedFlat'!$E$135*(1-SAP!$C$217))*1000*X$72/100)</f>
        <v>9862.650508379631</v>
      </c>
      <c r="Y79" s="153">
        <f ca="1">(((Y8+'1BedFlat'!$E$135)-(SAP!$C$217*'1BedFlat'!$E$135))*1000*Y$70/100)-(('1BedFlat'!$E$135*(1-SAP!$C$217))*1000*Y$72/100)</f>
        <v>9529.1309259706595</v>
      </c>
      <c r="Z79" s="153">
        <f ca="1">(((Z8+'1BedFlat'!$E$135)-(SAP!$C$217*'1BedFlat'!$E$135))*1000*Z$70/100)-(('1BedFlat'!$E$135*(1-SAP!$C$217))*1000*Z$72/100)</f>
        <v>9206.8897835465305</v>
      </c>
      <c r="AA79" s="153">
        <f ca="1">(((AA8+'1BedFlat'!$E$135)-(SAP!$C$217*'1BedFlat'!$E$135))*1000*AA$70/100)-(('1BedFlat'!$E$135*(1-SAP!$C$217))*1000*AA$72/100)</f>
        <v>8895.5456845860226</v>
      </c>
      <c r="AB79" s="153">
        <f ca="1">(((AB8+'1BedFlat'!$E$135)-(SAP!$C$217*'1BedFlat'!$E$135))*1000*AB$70/100)-(('1BedFlat'!$E$135*(1-SAP!$C$217))*1000*AB$72/100)</f>
        <v>8594.7301300348045</v>
      </c>
      <c r="AC79" s="153">
        <f ca="1">(((AC8+'1BedFlat'!$E$135)-(SAP!$C$217*'1BedFlat'!$E$135))*1000*AC$70/100)-(('1BedFlat'!$E$135*(1-SAP!$C$217))*1000*AC$72/100)</f>
        <v>8304.0870821592325</v>
      </c>
      <c r="AD79" s="153">
        <f ca="1">(((AD8+'1BedFlat'!$E$135)-(SAP!$C$217*'1BedFlat'!$E$135))*1000*AD$70/100)-(('1BedFlat'!$E$135*(1-SAP!$C$217))*1000*AD$72/100)</f>
        <v>8023.2725431490171</v>
      </c>
      <c r="AE79" s="153">
        <f ca="1">(((AE8+'1BedFlat'!$E$135)-(SAP!$C$217*'1BedFlat'!$E$135))*1000*AE$70/100)-(('1BedFlat'!$E$135*(1-SAP!$C$217))*1000*AE$72/100)</f>
        <v>7751.9541479700665</v>
      </c>
      <c r="AF79" s="153">
        <f ca="1">(((AF8+'1BedFlat'!$E$135)-(SAP!$C$217*'1BedFlat'!$E$135))*1000*AF$70/100)-(('1BedFlat'!$E$135*(1-SAP!$C$217))*1000*AF$72/100)</f>
        <v>7489.8107709855731</v>
      </c>
      <c r="AG79" s="153">
        <f ca="1">(((AG8+'1BedFlat'!$E$135)-(SAP!$C$217*'1BedFlat'!$E$135))*1000*AG$70/100)-(('1BedFlat'!$E$135*(1-SAP!$C$217))*1000*AG$72/100)</f>
        <v>7236.5321458797816</v>
      </c>
      <c r="AH79" s="153">
        <f ca="1">(((AH8+'1BedFlat'!$E$135)-(SAP!$C$217*'1BedFlat'!$E$135))*1000*AH$70/100)-(('1BedFlat'!$E$135*(1-SAP!$C$217))*1000*AH$72/100)</f>
        <v>7025.7593649318242</v>
      </c>
      <c r="AI79" s="153">
        <f ca="1">(((AI8+'1BedFlat'!$E$135)-(SAP!$C$217*'1BedFlat'!$E$135))*1000*AI$70/100)-(('1BedFlat'!$E$135*(1-SAP!$C$217))*1000*AI$72/100)</f>
        <v>6821.1255970211896</v>
      </c>
      <c r="AJ79" s="153">
        <f ca="1">(((AJ8+'1BedFlat'!$E$135)-(SAP!$C$217*'1BedFlat'!$E$135))*1000*AJ$70/100)-(('1BedFlat'!$E$135*(1-SAP!$C$217))*1000*AJ$72/100)</f>
        <v>6622.4520359429016</v>
      </c>
      <c r="AK79" s="153">
        <f ca="1">(((AK8+'1BedFlat'!$E$135)-(SAP!$C$217*'1BedFlat'!$E$135))*1000*AK$70/100)-(('1BedFlat'!$E$135*(1-SAP!$C$217))*1000*AK$72/100)</f>
        <v>6429.5650834397111</v>
      </c>
      <c r="AL79" s="153">
        <f ca="1">(((AL8+'1BedFlat'!$E$135)-(SAP!$C$217*'1BedFlat'!$E$135))*1000*AL$70/100)-(('1BedFlat'!$E$135*(1-SAP!$C$217))*1000*AL$72/100)</f>
        <v>6242.2961975142825</v>
      </c>
      <c r="AM79" s="153">
        <f ca="1">(((AM8+'1BedFlat'!$E$135)-(SAP!$C$217*'1BedFlat'!$E$135))*1000*AM$70/100)-(('1BedFlat'!$E$135*(1-SAP!$C$217))*1000*AM$72/100)</f>
        <v>6060.4817451594981</v>
      </c>
      <c r="AN79" s="153">
        <f ca="1">(((AN8+'1BedFlat'!$E$135)-(SAP!$C$217*'1BedFlat'!$E$135))*1000*AN$70/100)-(('1BedFlat'!$E$135*(1-SAP!$C$217))*1000*AN$72/100)</f>
        <v>5883.9628593781536</v>
      </c>
      <c r="AO79" s="153">
        <f ca="1">(((AO8+'1BedFlat'!$E$135)-(SAP!$C$217*'1BedFlat'!$E$135))*1000*AO$70/100)-(('1BedFlat'!$E$135*(1-SAP!$C$217))*1000*AO$72/100)</f>
        <v>5712.5853003671382</v>
      </c>
      <c r="AP79" s="153">
        <f ca="1">(((AP8+'1BedFlat'!$E$135)-(SAP!$C$217*'1BedFlat'!$E$135))*1000*AP$70/100)-(('1BedFlat'!$E$135*(1-SAP!$C$217))*1000*AP$72/100)</f>
        <v>5546.1993207447949</v>
      </c>
      <c r="AQ79" s="153">
        <f ca="1">(((AQ8+'1BedFlat'!$E$135)-(SAP!$C$217*'1BedFlat'!$E$135))*1000*AQ$70/100)-(('1BedFlat'!$E$135*(1-SAP!$C$217))*1000*AQ$72/100)</f>
        <v>5384.6595347036846</v>
      </c>
      <c r="AR79" s="153">
        <f ca="1">(((AR8+'1BedFlat'!$E$135)-(SAP!$C$217*'1BedFlat'!$E$135))*1000*AR$70/100)-(('1BedFlat'!$E$135*(1-SAP!$C$217))*1000*AR$72/100)</f>
        <v>5227.8247909744505</v>
      </c>
      <c r="AS79" s="153">
        <f ca="1">(((AS8+'1BedFlat'!$E$135)-(SAP!$C$217*'1BedFlat'!$E$135))*1000*AS$70/100)-(('1BedFlat'!$E$135*(1-SAP!$C$217))*1000*AS$72/100)</f>
        <v>5075.5580494897586</v>
      </c>
      <c r="AT79" s="153">
        <f ca="1">(((AT8+'1BedFlat'!$E$135)-(SAP!$C$217*'1BedFlat'!$E$135))*1000*AT$70/100)-(('1BedFlat'!$E$135*(1-SAP!$C$217))*1000*AT$72/100)</f>
        <v>4927.7262616405424</v>
      </c>
      <c r="AU79" s="153">
        <f ca="1">(((AU8+'1BedFlat'!$E$135)-(SAP!$C$217*'1BedFlat'!$E$135))*1000*AU$70/100)-(('1BedFlat'!$E$135*(1-SAP!$C$217))*1000*AU$72/100)</f>
        <v>4784.2002540199437</v>
      </c>
      <c r="AV79" s="153">
        <f ca="1">(((AV8+'1BedFlat'!$E$135)-(SAP!$C$217*'1BedFlat'!$E$135))*1000*AV$70/100)-(('1BedFlat'!$E$135*(1-SAP!$C$217))*1000*AV$72/100)</f>
        <v>4644.854615553344</v>
      </c>
      <c r="AW79" s="153">
        <f ca="1">(((AW8+'1BedFlat'!$E$135)-(SAP!$C$217*'1BedFlat'!$E$135))*1000*AW$70/100)-(('1BedFlat'!$E$135*(1-SAP!$C$217))*1000*AW$72/100)</f>
        <v>4509.5675879158671</v>
      </c>
      <c r="AX79" s="153">
        <f ca="1">(((AX8+'1BedFlat'!$E$135)-(SAP!$C$217*'1BedFlat'!$E$135))*1000*AX$70/100)-(('1BedFlat'!$E$135*(1-SAP!$C$217))*1000*AX$72/100)</f>
        <v>4378.2209591416186</v>
      </c>
      <c r="AY79" s="153">
        <f ca="1">(((AY8+'1BedFlat'!$E$135)-(SAP!$C$217*'1BedFlat'!$E$135))*1000*AY$70/100)-(('1BedFlat'!$E$135*(1-SAP!$C$217))*1000*AY$72/100)</f>
        <v>4250.699960331669</v>
      </c>
      <c r="AZ79" s="153">
        <f ca="1">(((AZ8+'1BedFlat'!$E$135)-(SAP!$C$217*'1BedFlat'!$E$135))*1000*AZ$70/100)-(('1BedFlat'!$E$135*(1-SAP!$C$217))*1000*AZ$72/100)</f>
        <v>4126.8931653705531</v>
      </c>
      <c r="BA79" s="153">
        <f ca="1">(((BA8+'1BedFlat'!$E$135)-(SAP!$C$217*'1BedFlat'!$E$135))*1000*BA$70/100)-(('1BedFlat'!$E$135*(1-SAP!$C$217))*1000*BA$72/100)</f>
        <v>4006.6923935636437</v>
      </c>
      <c r="BB79" s="153">
        <f ca="1">(((BB8+'1BedFlat'!$E$135)-(SAP!$C$217*'1BedFlat'!$E$135))*1000*BB$70/100)-(('1BedFlat'!$E$135*(1-SAP!$C$217))*1000*BB$72/100)</f>
        <v>3889.9926151103332</v>
      </c>
      <c r="BC79" s="153">
        <f ca="1">(((BC8+'1BedFlat'!$E$135)-(SAP!$C$217*'1BedFlat'!$E$135))*1000*BC$70/100)-(('1BedFlat'!$E$135*(1-SAP!$C$217))*1000*BC$72/100)</f>
        <v>3776.6918593304208</v>
      </c>
      <c r="BD79" s="153">
        <f ca="1">(((BD8+'1BedFlat'!$E$135)-(SAP!$C$217*'1BedFlat'!$E$135))*1000*BD$70/100)-(('1BedFlat'!$E$135*(1-SAP!$C$217))*1000*BD$72/100)</f>
        <v>3666.691125563515</v>
      </c>
      <c r="BE79" s="153">
        <f ca="1">(((BE8+'1BedFlat'!$E$135)-(SAP!$C$217*'1BedFlat'!$E$135))*1000*BE$70/100)-(('1BedFlat'!$E$135*(1-SAP!$C$217))*1000*BE$72/100)</f>
        <v>3559.8942966636068</v>
      </c>
      <c r="BF79" s="153">
        <f ca="1">(((BF8+'1BedFlat'!$E$135)-(SAP!$C$217*'1BedFlat'!$E$135))*1000*BF$70/100)-(('1BedFlat'!$E$135*(1-SAP!$C$217))*1000*BF$72/100)</f>
        <v>3456.20805501321</v>
      </c>
      <c r="BG79" s="153">
        <f ca="1">(((BG8+'1BedFlat'!$E$135)-(SAP!$C$217*'1BedFlat'!$E$135))*1000*BG$70/100)-(('1BedFlat'!$E$135*(1-SAP!$C$217))*1000*BG$72/100)</f>
        <v>3355.541800983699</v>
      </c>
      <c r="BH79" s="153">
        <f ca="1">(((BH8+'1BedFlat'!$E$135)-(SAP!$C$217*'1BedFlat'!$E$135))*1000*BH$70/100)-(('1BedFlat'!$E$135*(1-SAP!$C$217))*1000*BH$72/100)</f>
        <v>3257.8075737705822</v>
      </c>
      <c r="BI79" s="153">
        <f ca="1">(((BI8+'1BedFlat'!$E$135)-(SAP!$C$217*'1BedFlat'!$E$135))*1000*BI$70/100)-(('1BedFlat'!$E$135*(1-SAP!$C$217))*1000*BI$72/100)</f>
        <v>3162.9199745345454</v>
      </c>
      <c r="BJ79" s="153">
        <f ca="1">(((BJ8+'1BedFlat'!$E$135)-(SAP!$C$217*'1BedFlat'!$E$135))*1000*BJ$70/100)-(('1BedFlat'!$E$135*(1-SAP!$C$217))*1000*BJ$72/100)</f>
        <v>3070.796091781112</v>
      </c>
      <c r="BK79" s="153">
        <f ca="1">(((BK8+'1BedFlat'!$E$135)-(SAP!$C$217*'1BedFlat'!$E$135))*1000*BK$70/100)-(('1BedFlat'!$E$135*(1-SAP!$C$217))*1000*BK$72/100)</f>
        <v>2981.3554289137019</v>
      </c>
      <c r="BL79" s="154">
        <f t="shared" ca="1" si="61"/>
        <v>515731.69123650331</v>
      </c>
    </row>
    <row r="80" spans="2:64">
      <c r="B80" t="s">
        <v>805</v>
      </c>
      <c r="C80" s="153">
        <f>C9*1000*C$70/100</f>
        <v>0</v>
      </c>
      <c r="D80" s="153">
        <f ca="1">(((D9+'2BedFlat'!$E$135)-(SAP!$C$217*'2BedFlat'!$E$135))*1000*D$70/100)-(('2BedFlat'!$E$135*(1-SAP!$C$217))*1000*D$72/100)</f>
        <v>31828.267653821931</v>
      </c>
      <c r="E80" s="153">
        <f ca="1">(((E9+'2BedFlat'!$E$135)-(SAP!$C$217*'2BedFlat'!$E$135))*1000*E$70/100)-(('2BedFlat'!$E$135*(1-SAP!$C$217))*1000*E$72/100)</f>
        <v>31038.348265716028</v>
      </c>
      <c r="F80" s="153">
        <f ca="1">(((F9+'2BedFlat'!$E$135)-(SAP!$C$217*'2BedFlat'!$E$135))*1000*F$70/100)-(('2BedFlat'!$E$135*(1-SAP!$C$217))*1000*F$72/100)</f>
        <v>29118.818017176978</v>
      </c>
      <c r="G80" s="153">
        <f ca="1">(((G9+'2BedFlat'!$E$135)-(SAP!$C$217*'2BedFlat'!$E$135))*1000*G$70/100)-(('2BedFlat'!$E$135*(1-SAP!$C$217))*1000*G$72/100)</f>
        <v>28939.065668907246</v>
      </c>
      <c r="H80" s="153">
        <f ca="1">(((H9+'2BedFlat'!$E$135)-(SAP!$C$217*'2BedFlat'!$E$135))*1000*H$70/100)-(('2BedFlat'!$E$135*(1-SAP!$C$217))*1000*H$72/100)</f>
        <v>28563.538006339135</v>
      </c>
      <c r="I80" s="153">
        <f ca="1">(((I9+'2BedFlat'!$E$135)-(SAP!$C$217*'2BedFlat'!$E$135))*1000*I$70/100)-(('2BedFlat'!$E$135*(1-SAP!$C$217))*1000*I$72/100)</f>
        <v>27723.660364674266</v>
      </c>
      <c r="J80" s="153">
        <f ca="1">(((J9+'2BedFlat'!$E$135)-(SAP!$C$217*'2BedFlat'!$E$135))*1000*J$70/100)-(('2BedFlat'!$E$135*(1-SAP!$C$217))*1000*J$72/100)</f>
        <v>26755.645100357055</v>
      </c>
      <c r="K80" s="153">
        <f ca="1">(((K9+'2BedFlat'!$E$135)-(SAP!$C$217*'2BedFlat'!$E$135))*1000*K$70/100)-(('2BedFlat'!$E$135*(1-SAP!$C$217))*1000*K$72/100)</f>
        <v>26063.746497693523</v>
      </c>
      <c r="L80" s="153">
        <f ca="1">(((L9+'2BedFlat'!$E$135)-(SAP!$C$217*'2BedFlat'!$E$135))*1000*L$70/100)-(('2BedFlat'!$E$135*(1-SAP!$C$217))*1000*L$72/100)</f>
        <v>24496.959327931414</v>
      </c>
      <c r="M80" s="153">
        <f ca="1">(((M9+'2BedFlat'!$E$135)-(SAP!$C$217*'2BedFlat'!$E$135))*1000*M$70/100)-(('2BedFlat'!$E$135*(1-SAP!$C$217))*1000*M$72/100)</f>
        <v>23668.559737131804</v>
      </c>
      <c r="N80" s="153">
        <f ca="1">(((N9+'2BedFlat'!$E$135)-(SAP!$C$217*'2BedFlat'!$E$135))*1000*N$70/100)-(('2BedFlat'!$E$135*(1-SAP!$C$217))*1000*N$72/100)</f>
        <v>22868.173659064541</v>
      </c>
      <c r="O80" s="153">
        <f ca="1">(((O9+'2BedFlat'!$E$135)-(SAP!$C$217*'2BedFlat'!$E$135))*1000*O$70/100)-(('2BedFlat'!$E$135*(1-SAP!$C$217))*1000*O$72/100)</f>
        <v>22094.853776873962</v>
      </c>
      <c r="P80" s="153">
        <f ca="1">(((P9+'2BedFlat'!$E$135)-(SAP!$C$217*'2BedFlat'!$E$135))*1000*P$70/100)-(('2BedFlat'!$E$135*(1-SAP!$C$217))*1000*P$72/100)</f>
        <v>21347.684808573878</v>
      </c>
      <c r="Q80" s="153">
        <f ca="1">(((Q9+'2BedFlat'!$E$135)-(SAP!$C$217*'2BedFlat'!$E$135))*1000*Q$70/100)-(('2BedFlat'!$E$135*(1-SAP!$C$217))*1000*Q$72/100)</f>
        <v>20625.782423742879</v>
      </c>
      <c r="R80" s="153">
        <f ca="1">(((R9+'2BedFlat'!$E$135)-(SAP!$C$217*'2BedFlat'!$E$135))*1000*R$70/100)-(('2BedFlat'!$E$135*(1-SAP!$C$217))*1000*R$72/100)</f>
        <v>19928.292196853021</v>
      </c>
      <c r="S80" s="153">
        <f ca="1">(((S9+'2BedFlat'!$E$135)-(SAP!$C$217*'2BedFlat'!$E$135))*1000*S$70/100)-(('2BedFlat'!$E$135*(1-SAP!$C$217))*1000*S$72/100)</f>
        <v>19254.38859599326</v>
      </c>
      <c r="T80" s="153">
        <f ca="1">(((T9+'2BedFlat'!$E$135)-(SAP!$C$217*'2BedFlat'!$E$135))*1000*T$70/100)-(('2BedFlat'!$E$135*(1-SAP!$C$217))*1000*T$72/100)</f>
        <v>18603.27400579059</v>
      </c>
      <c r="U80" s="153">
        <f ca="1">(((U9+'2BedFlat'!$E$135)-(SAP!$C$217*'2BedFlat'!$E$135))*1000*U$70/100)-(('2BedFlat'!$E$135*(1-SAP!$C$217))*1000*U$72/100)</f>
        <v>17974.177783372554</v>
      </c>
      <c r="V80" s="153">
        <f ca="1">(((V9+'2BedFlat'!$E$135)-(SAP!$C$217*'2BedFlat'!$E$135))*1000*V$70/100)-(('2BedFlat'!$E$135*(1-SAP!$C$217))*1000*V$72/100)</f>
        <v>17366.355346253669</v>
      </c>
      <c r="W80" s="153">
        <f ca="1">(((W9+'2BedFlat'!$E$135)-(SAP!$C$217*'2BedFlat'!$E$135))*1000*W$70/100)-(('2BedFlat'!$E$135*(1-SAP!$C$217))*1000*W$72/100)</f>
        <v>16779.087291066353</v>
      </c>
      <c r="X80" s="153">
        <f ca="1">(((X9+'2BedFlat'!$E$135)-(SAP!$C$217*'2BedFlat'!$E$135))*1000*X$70/100)-(('2BedFlat'!$E$135*(1-SAP!$C$217))*1000*X$72/100)</f>
        <v>16211.678542093097</v>
      </c>
      <c r="Y80" s="153">
        <f ca="1">(((Y9+'2BedFlat'!$E$135)-(SAP!$C$217*'2BedFlat'!$E$135))*1000*Y$70/100)-(('2BedFlat'!$E$135*(1-SAP!$C$217))*1000*Y$72/100)</f>
        <v>15663.457528592364</v>
      </c>
      <c r="Z80" s="153">
        <f ca="1">(((Z9+'2BedFlat'!$E$135)-(SAP!$C$217*'2BedFlat'!$E$135))*1000*Z$70/100)-(('2BedFlat'!$E$135*(1-SAP!$C$217))*1000*Z$72/100)</f>
        <v>15133.775389944314</v>
      </c>
      <c r="AA80" s="153">
        <f ca="1">(((AA9+'2BedFlat'!$E$135)-(SAP!$C$217*'2BedFlat'!$E$135))*1000*AA$70/100)-(('2BedFlat'!$E$135*(1-SAP!$C$217))*1000*AA$72/100)</f>
        <v>14622.005207675669</v>
      </c>
      <c r="AB80" s="153">
        <f ca="1">(((AB9+'2BedFlat'!$E$135)-(SAP!$C$217*'2BedFlat'!$E$135))*1000*AB$70/100)-(('2BedFlat'!$E$135*(1-SAP!$C$217))*1000*AB$72/100)</f>
        <v>14127.541263454754</v>
      </c>
      <c r="AC80" s="153">
        <f ca="1">(((AC9+'2BedFlat'!$E$135)-(SAP!$C$217*'2BedFlat'!$E$135))*1000*AC$70/100)-(('2BedFlat'!$E$135*(1-SAP!$C$217))*1000*AC$72/100)</f>
        <v>13649.798322178509</v>
      </c>
      <c r="AD80" s="153">
        <f ca="1">(((AD9+'2BedFlat'!$E$135)-(SAP!$C$217*'2BedFlat'!$E$135))*1000*AD$70/100)-(('2BedFlat'!$E$135*(1-SAP!$C$217))*1000*AD$72/100)</f>
        <v>13188.21093930291</v>
      </c>
      <c r="AE80" s="153">
        <f ca="1">(((AE9+'2BedFlat'!$E$135)-(SAP!$C$217*'2BedFlat'!$E$135))*1000*AE$70/100)-(('2BedFlat'!$E$135*(1-SAP!$C$217))*1000*AE$72/100)</f>
        <v>12742.232791597015</v>
      </c>
      <c r="AF80" s="153">
        <f ca="1">(((AF9+'2BedFlat'!$E$135)-(SAP!$C$217*'2BedFlat'!$E$135))*1000*AF$70/100)-(('2BedFlat'!$E$135*(1-SAP!$C$217))*1000*AF$72/100)</f>
        <v>12311.336030528517</v>
      </c>
      <c r="AG80" s="153">
        <f ca="1">(((AG9+'2BedFlat'!$E$135)-(SAP!$C$217*'2BedFlat'!$E$135))*1000*AG$70/100)-(('2BedFlat'!$E$135*(1-SAP!$C$217))*1000*AG$72/100)</f>
        <v>11895.010657515477</v>
      </c>
      <c r="AH80" s="153">
        <f ca="1">(((AH9+'2BedFlat'!$E$135)-(SAP!$C$217*'2BedFlat'!$E$135))*1000*AH$70/100)-(('2BedFlat'!$E$135*(1-SAP!$C$217))*1000*AH$72/100)</f>
        <v>11548.554036422791</v>
      </c>
      <c r="AI80" s="153">
        <f ca="1">(((AI9+'2BedFlat'!$E$135)-(SAP!$C$217*'2BedFlat'!$E$135))*1000*AI$70/100)-(('2BedFlat'!$E$135*(1-SAP!$C$217))*1000*AI$72/100)</f>
        <v>11212.188384876499</v>
      </c>
      <c r="AJ80" s="153">
        <f ca="1">(((AJ9+'2BedFlat'!$E$135)-(SAP!$C$217*'2BedFlat'!$E$135))*1000*AJ$70/100)-(('2BedFlat'!$E$135*(1-SAP!$C$217))*1000*AJ$72/100)</f>
        <v>10885.619791142228</v>
      </c>
      <c r="AK80" s="153">
        <f ca="1">(((AK9+'2BedFlat'!$E$135)-(SAP!$C$217*'2BedFlat'!$E$135))*1000*AK$70/100)-(('2BedFlat'!$E$135*(1-SAP!$C$217))*1000*AK$72/100)</f>
        <v>10568.562904021581</v>
      </c>
      <c r="AL80" s="153">
        <f ca="1">(((AL9+'2BedFlat'!$E$135)-(SAP!$C$217*'2BedFlat'!$E$135))*1000*AL$70/100)-(('2BedFlat'!$E$135*(1-SAP!$C$217))*1000*AL$72/100)</f>
        <v>10260.740683516098</v>
      </c>
      <c r="AM80" s="153">
        <f ca="1">(((AM9+'2BedFlat'!$E$135)-(SAP!$C$217*'2BedFlat'!$E$135))*1000*AM$70/100)-(('2BedFlat'!$E$135*(1-SAP!$C$217))*1000*AM$72/100)</f>
        <v>9961.8841587534953</v>
      </c>
      <c r="AN80" s="153">
        <f ca="1">(((AN9+'2BedFlat'!$E$135)-(SAP!$C$217*'2BedFlat'!$E$135))*1000*AN$70/100)-(('2BedFlat'!$E$135*(1-SAP!$C$217))*1000*AN$72/100)</f>
        <v>9671.7321929645568</v>
      </c>
      <c r="AO80" s="153">
        <f ca="1">(((AO9+'2BedFlat'!$E$135)-(SAP!$C$217*'2BedFlat'!$E$135))*1000*AO$70/100)-(('2BedFlat'!$E$135*(1-SAP!$C$217))*1000*AO$72/100)</f>
        <v>9390.0312553053955</v>
      </c>
      <c r="AP80" s="153">
        <f ca="1">(((AP9+'2BedFlat'!$E$135)-(SAP!$C$217*'2BedFlat'!$E$135))*1000*AP$70/100)-(('2BedFlat'!$E$135*(1-SAP!$C$217))*1000*AP$72/100)</f>
        <v>9116.5351993256281</v>
      </c>
      <c r="AQ80" s="153">
        <f ca="1">(((AQ9+'2BedFlat'!$E$135)-(SAP!$C$217*'2BedFlat'!$E$135))*1000*AQ$70/100)-(('2BedFlat'!$E$135*(1-SAP!$C$217))*1000*AQ$72/100)</f>
        <v>8851.0050478889589</v>
      </c>
      <c r="AR80" s="153">
        <f ca="1">(((AR9+'2BedFlat'!$E$135)-(SAP!$C$217*'2BedFlat'!$E$135))*1000*AR$70/100)-(('2BedFlat'!$E$135*(1-SAP!$C$217))*1000*AR$72/100)</f>
        <v>8593.2087843582121</v>
      </c>
      <c r="AS80" s="153">
        <f ca="1">(((AS9+'2BedFlat'!$E$135)-(SAP!$C$217*'2BedFlat'!$E$135))*1000*AS$70/100)-(('2BedFlat'!$E$135*(1-SAP!$C$217))*1000*AS$72/100)</f>
        <v>8342.9211498623426</v>
      </c>
      <c r="AT80" s="153">
        <f ca="1">(((AT9+'2BedFlat'!$E$135)-(SAP!$C$217*'2BedFlat'!$E$135))*1000*AT$70/100)-(('2BedFlat'!$E$135*(1-SAP!$C$217))*1000*AT$72/100)</f>
        <v>8099.9234464682932</v>
      </c>
      <c r="AU80" s="153">
        <f ca="1">(((AU9+'2BedFlat'!$E$135)-(SAP!$C$217*'2BedFlat'!$E$135))*1000*AU$70/100)-(('2BedFlat'!$E$135*(1-SAP!$C$217))*1000*AU$72/100)</f>
        <v>7864.0033460857212</v>
      </c>
      <c r="AV80" s="153">
        <f ca="1">(((AV9+'2BedFlat'!$E$135)-(SAP!$C$217*'2BedFlat'!$E$135))*1000*AV$70/100)-(('2BedFlat'!$E$135*(1-SAP!$C$217))*1000*AV$72/100)</f>
        <v>7634.9547049375942</v>
      </c>
      <c r="AW80" s="153">
        <f ca="1">(((AW9+'2BedFlat'!$E$135)-(SAP!$C$217*'2BedFlat'!$E$135))*1000*AW$70/100)-(('2BedFlat'!$E$135*(1-SAP!$C$217))*1000*AW$72/100)</f>
        <v>7412.5773834345564</v>
      </c>
      <c r="AX80" s="153">
        <f ca="1">(((AX9+'2BedFlat'!$E$135)-(SAP!$C$217*'2BedFlat'!$E$135))*1000*AX$70/100)-(('2BedFlat'!$E$135*(1-SAP!$C$217))*1000*AX$72/100)</f>
        <v>7196.6770712956859</v>
      </c>
      <c r="AY80" s="153">
        <f ca="1">(((AY9+'2BedFlat'!$E$135)-(SAP!$C$217*'2BedFlat'!$E$135))*1000*AY$70/100)-(('2BedFlat'!$E$135*(1-SAP!$C$217))*1000*AY$72/100)</f>
        <v>6987.0651177628042</v>
      </c>
      <c r="AZ80" s="153">
        <f ca="1">(((AZ9+'2BedFlat'!$E$135)-(SAP!$C$217*'2BedFlat'!$E$135))*1000*AZ$70/100)-(('2BedFlat'!$E$135*(1-SAP!$C$217))*1000*AZ$72/100)</f>
        <v>6783.5583667600022</v>
      </c>
      <c r="BA80" s="153">
        <f ca="1">(((BA9+'2BedFlat'!$E$135)-(SAP!$C$217*'2BedFlat'!$E$135))*1000*BA$70/100)-(('2BedFlat'!$E$135*(1-SAP!$C$217))*1000*BA$72/100)</f>
        <v>6585.978996854371</v>
      </c>
      <c r="BB80" s="153">
        <f ca="1">(((BB9+'2BedFlat'!$E$135)-(SAP!$C$217*'2BedFlat'!$E$135))*1000*BB$70/100)-(('2BedFlat'!$E$135*(1-SAP!$C$217))*1000*BB$72/100)</f>
        <v>6394.1543658780301</v>
      </c>
      <c r="BC80" s="153">
        <f ca="1">(((BC9+'2BedFlat'!$E$135)-(SAP!$C$217*'2BedFlat'!$E$135))*1000*BC$70/100)-(('2BedFlat'!$E$135*(1-SAP!$C$217))*1000*BC$72/100)</f>
        <v>6207.9168600757566</v>
      </c>
      <c r="BD80" s="153">
        <f ca="1">(((BD9+'2BedFlat'!$E$135)-(SAP!$C$217*'2BedFlat'!$E$135))*1000*BD$70/100)-(('2BedFlat'!$E$135*(1-SAP!$C$217))*1000*BD$72/100)</f>
        <v>6027.1037476463662</v>
      </c>
      <c r="BE80" s="153">
        <f ca="1">(((BE9+'2BedFlat'!$E$135)-(SAP!$C$217*'2BedFlat'!$E$135))*1000*BE$70/100)-(('2BedFlat'!$E$135*(1-SAP!$C$217))*1000*BE$72/100)</f>
        <v>5851.5570365498697</v>
      </c>
      <c r="BF80" s="153">
        <f ca="1">(((BF9+'2BedFlat'!$E$135)-(SAP!$C$217*'2BedFlat'!$E$135))*1000*BF$70/100)-(('2BedFlat'!$E$135*(1-SAP!$C$217))*1000*BF$72/100)</f>
        <v>5681.123336456184</v>
      </c>
      <c r="BG80" s="153">
        <f ca="1">(((BG9+'2BedFlat'!$E$135)-(SAP!$C$217*'2BedFlat'!$E$135))*1000*BG$70/100)-(('2BedFlat'!$E$135*(1-SAP!$C$217))*1000*BG$72/100)</f>
        <v>5515.6537247147426</v>
      </c>
      <c r="BH80" s="153">
        <f ca="1">(((BH9+'2BedFlat'!$E$135)-(SAP!$C$217*'2BedFlat'!$E$135))*1000*BH$70/100)-(('2BedFlat'!$E$135*(1-SAP!$C$217))*1000*BH$72/100)</f>
        <v>5355.0036162279057</v>
      </c>
      <c r="BI80" s="153">
        <f ca="1">(((BI9+'2BedFlat'!$E$135)-(SAP!$C$217*'2BedFlat'!$E$135))*1000*BI$70/100)-(('2BedFlat'!$E$135*(1-SAP!$C$217))*1000*BI$72/100)</f>
        <v>5199.0326371144702</v>
      </c>
      <c r="BJ80" s="153">
        <f ca="1">(((BJ9+'2BedFlat'!$E$135)-(SAP!$C$217*'2BedFlat'!$E$135))*1000*BJ$70/100)-(('2BedFlat'!$E$135*(1-SAP!$C$217))*1000*BJ$72/100)</f>
        <v>5047.6045020528845</v>
      </c>
      <c r="BK80" s="153">
        <f ca="1">(((BK9+'2BedFlat'!$E$135)-(SAP!$C$217*'2BedFlat'!$E$135))*1000*BK$70/100)-(('2BedFlat'!$E$135*(1-SAP!$C$217))*1000*BK$72/100)</f>
        <v>4900.586895196976</v>
      </c>
      <c r="BL80" s="153">
        <f ca="1">(((BL9+'2BedFlat'!$E$135)-(SAP!$C$217*'2BedFlat'!$E$135))*1000*BL$70/100)-(('2BedFlat'!$E$135*(1-SAP!$C$217))*1000*BL$72/100)</f>
        <v>0</v>
      </c>
    </row>
    <row r="81" spans="2:64">
      <c r="B81" t="s">
        <v>806</v>
      </c>
      <c r="C81" s="153">
        <f>SUM(C77:C80)</f>
        <v>0</v>
      </c>
      <c r="D81" s="153">
        <f t="shared" ref="D81:BK81" ca="1" si="62">SUM(D77:D80)</f>
        <v>389931.62704294879</v>
      </c>
      <c r="E81" s="153">
        <f t="shared" ca="1" si="62"/>
        <v>380254.23725890502</v>
      </c>
      <c r="F81" s="153">
        <f t="shared" ca="1" si="62"/>
        <v>356737.85989549209</v>
      </c>
      <c r="G81" s="153">
        <f t="shared" ca="1" si="62"/>
        <v>354535.69399730535</v>
      </c>
      <c r="H81" s="153">
        <f t="shared" ca="1" si="62"/>
        <v>349935.0630720706</v>
      </c>
      <c r="I81" s="153">
        <f t="shared" ca="1" si="62"/>
        <v>339645.62919859216</v>
      </c>
      <c r="J81" s="153">
        <f t="shared" ca="1" si="62"/>
        <v>327786.36713874532</v>
      </c>
      <c r="K81" s="153">
        <f t="shared" ca="1" si="62"/>
        <v>319309.84083766845</v>
      </c>
      <c r="L81" s="153">
        <f t="shared" ca="1" si="62"/>
        <v>300114.95794362592</v>
      </c>
      <c r="M81" s="153">
        <f t="shared" ca="1" si="62"/>
        <v>289966.14294070139</v>
      </c>
      <c r="N81" s="153">
        <f t="shared" ca="1" si="62"/>
        <v>280160.52458038781</v>
      </c>
      <c r="O81" s="153">
        <f t="shared" ca="1" si="62"/>
        <v>270686.49717911868</v>
      </c>
      <c r="P81" s="153">
        <f t="shared" ca="1" si="62"/>
        <v>261532.84751605676</v>
      </c>
      <c r="Q81" s="153">
        <f t="shared" ca="1" si="62"/>
        <v>252688.74156140751</v>
      </c>
      <c r="R81" s="153">
        <f t="shared" ca="1" si="62"/>
        <v>244143.7116535338</v>
      </c>
      <c r="S81" s="153">
        <f t="shared" ca="1" si="62"/>
        <v>235887.64410969455</v>
      </c>
      <c r="T81" s="153">
        <f t="shared" ca="1" si="62"/>
        <v>227910.7672557435</v>
      </c>
      <c r="U81" s="153">
        <f t="shared" ca="1" si="62"/>
        <v>220203.63986062177</v>
      </c>
      <c r="V81" s="153">
        <f t="shared" ca="1" si="62"/>
        <v>212757.13996195339</v>
      </c>
      <c r="W81" s="153">
        <f t="shared" ca="1" si="62"/>
        <v>205562.4540695202</v>
      </c>
      <c r="X81" s="153">
        <f t="shared" ca="1" si="62"/>
        <v>198611.06673383596</v>
      </c>
      <c r="Y81" s="153">
        <f t="shared" ca="1" si="62"/>
        <v>191894.75046747434</v>
      </c>
      <c r="Z81" s="153">
        <f t="shared" ca="1" si="62"/>
        <v>185405.55600722166</v>
      </c>
      <c r="AA81" s="153">
        <f t="shared" ca="1" si="62"/>
        <v>179135.80290552817</v>
      </c>
      <c r="AB81" s="153">
        <f t="shared" ca="1" si="62"/>
        <v>173078.07044012391</v>
      </c>
      <c r="AC81" s="153">
        <f t="shared" ca="1" si="62"/>
        <v>167225.18883103758</v>
      </c>
      <c r="AD81" s="153">
        <f t="shared" ca="1" si="62"/>
        <v>161570.23075462569</v>
      </c>
      <c r="AE81" s="153">
        <f t="shared" ca="1" si="62"/>
        <v>156106.50314456591</v>
      </c>
      <c r="AF81" s="153">
        <f t="shared" ca="1" si="62"/>
        <v>150827.539270112</v>
      </c>
      <c r="AG81" s="153">
        <f t="shared" ca="1" si="62"/>
        <v>145727.09108223379</v>
      </c>
      <c r="AH81" s="153">
        <f t="shared" ca="1" si="62"/>
        <v>141482.61270119785</v>
      </c>
      <c r="AI81" s="153">
        <f t="shared" ca="1" si="62"/>
        <v>137361.75990407565</v>
      </c>
      <c r="AJ81" s="153">
        <f t="shared" ca="1" si="62"/>
        <v>133360.93194570448</v>
      </c>
      <c r="AK81" s="153">
        <f t="shared" ca="1" si="62"/>
        <v>129476.63295699465</v>
      </c>
      <c r="AL81" s="153">
        <f t="shared" ca="1" si="62"/>
        <v>125705.46889028604</v>
      </c>
      <c r="AM81" s="153">
        <f t="shared" ca="1" si="62"/>
        <v>122044.1445536758</v>
      </c>
      <c r="AN81" s="153">
        <f t="shared" ca="1" si="62"/>
        <v>118489.46073172404</v>
      </c>
      <c r="AO81" s="153">
        <f t="shared" ca="1" si="62"/>
        <v>115038.31139002334</v>
      </c>
      <c r="AP81" s="153">
        <f t="shared" ca="1" si="62"/>
        <v>111687.68096118774</v>
      </c>
      <c r="AQ81" s="153">
        <f t="shared" ca="1" si="62"/>
        <v>108434.641709891</v>
      </c>
      <c r="AR81" s="153">
        <f t="shared" ca="1" si="62"/>
        <v>105276.35117465144</v>
      </c>
      <c r="AS81" s="153">
        <f t="shared" ca="1" si="62"/>
        <v>102210.04968412763</v>
      </c>
      <c r="AT81" s="153">
        <f t="shared" ca="1" si="62"/>
        <v>99233.057945755005</v>
      </c>
      <c r="AU81" s="153">
        <f t="shared" ca="1" si="62"/>
        <v>96342.774704616488</v>
      </c>
      <c r="AV81" s="153">
        <f t="shared" ca="1" si="62"/>
        <v>93536.674470501443</v>
      </c>
      <c r="AW81" s="153">
        <f t="shared" ca="1" si="62"/>
        <v>90812.305311166449</v>
      </c>
      <c r="AX81" s="153">
        <f t="shared" ca="1" si="62"/>
        <v>88167.286709870328</v>
      </c>
      <c r="AY81" s="153">
        <f t="shared" ca="1" si="62"/>
        <v>85599.307485311016</v>
      </c>
      <c r="AZ81" s="153">
        <f t="shared" ca="1" si="62"/>
        <v>83106.123772146602</v>
      </c>
      <c r="BA81" s="153">
        <f t="shared" ca="1" si="62"/>
        <v>80685.557060336519</v>
      </c>
      <c r="BB81" s="153">
        <f t="shared" ca="1" si="62"/>
        <v>78335.492291588831</v>
      </c>
      <c r="BC81" s="153">
        <f t="shared" ca="1" si="62"/>
        <v>76053.876011251312</v>
      </c>
      <c r="BD81" s="153">
        <f t="shared" ca="1" si="62"/>
        <v>73838.714574030397</v>
      </c>
      <c r="BE81" s="153">
        <f t="shared" ca="1" si="62"/>
        <v>71688.072401971265</v>
      </c>
      <c r="BF81" s="153">
        <f t="shared" ca="1" si="62"/>
        <v>69600.070293175973</v>
      </c>
      <c r="BG81" s="153">
        <f t="shared" ca="1" si="62"/>
        <v>67572.883779782482</v>
      </c>
      <c r="BH81" s="153">
        <f t="shared" ca="1" si="62"/>
        <v>65604.741533769411</v>
      </c>
      <c r="BI81" s="153">
        <f t="shared" ca="1" si="62"/>
        <v>63693.923819193602</v>
      </c>
      <c r="BJ81" s="153">
        <f t="shared" ca="1" si="62"/>
        <v>61838.760989508359</v>
      </c>
      <c r="BK81" s="153">
        <f t="shared" ca="1" si="62"/>
        <v>60037.632028648899</v>
      </c>
      <c r="BL81" s="154">
        <f t="shared" ca="1" si="61"/>
        <v>10385648.48849701</v>
      </c>
    </row>
    <row r="82" spans="2:64">
      <c r="B82" t="s">
        <v>807</v>
      </c>
      <c r="C82" s="153">
        <f t="shared" ref="C82:AH82" si="63">C11*1000*C$71/100</f>
        <v>0</v>
      </c>
      <c r="D82" s="153">
        <f t="shared" ca="1" si="63"/>
        <v>0</v>
      </c>
      <c r="E82" s="153">
        <f t="shared" ca="1" si="63"/>
        <v>0</v>
      </c>
      <c r="F82" s="153">
        <f t="shared" ca="1" si="63"/>
        <v>0</v>
      </c>
      <c r="G82" s="153">
        <f t="shared" ca="1" si="63"/>
        <v>0</v>
      </c>
      <c r="H82" s="153">
        <f t="shared" ca="1" si="63"/>
        <v>0</v>
      </c>
      <c r="I82" s="153">
        <f t="shared" ca="1" si="63"/>
        <v>0</v>
      </c>
      <c r="J82" s="153">
        <f t="shared" ca="1" si="63"/>
        <v>0</v>
      </c>
      <c r="K82" s="153">
        <f t="shared" ca="1" si="63"/>
        <v>0</v>
      </c>
      <c r="L82" s="153">
        <f t="shared" ca="1" si="63"/>
        <v>0</v>
      </c>
      <c r="M82" s="153">
        <f t="shared" ca="1" si="63"/>
        <v>0</v>
      </c>
      <c r="N82" s="153">
        <f t="shared" ca="1" si="63"/>
        <v>0</v>
      </c>
      <c r="O82" s="153">
        <f t="shared" ca="1" si="63"/>
        <v>0</v>
      </c>
      <c r="P82" s="153">
        <f t="shared" ca="1" si="63"/>
        <v>0</v>
      </c>
      <c r="Q82" s="153">
        <f t="shared" ca="1" si="63"/>
        <v>0</v>
      </c>
      <c r="R82" s="153">
        <f t="shared" ca="1" si="63"/>
        <v>0</v>
      </c>
      <c r="S82" s="153">
        <f t="shared" ca="1" si="63"/>
        <v>0</v>
      </c>
      <c r="T82" s="153">
        <f t="shared" ca="1" si="63"/>
        <v>0</v>
      </c>
      <c r="U82" s="153">
        <f t="shared" ca="1" si="63"/>
        <v>0</v>
      </c>
      <c r="V82" s="153">
        <f t="shared" ca="1" si="63"/>
        <v>0</v>
      </c>
      <c r="W82" s="153">
        <f t="shared" ca="1" si="63"/>
        <v>0</v>
      </c>
      <c r="X82" s="153">
        <f t="shared" si="63"/>
        <v>0</v>
      </c>
      <c r="Y82" s="153">
        <f t="shared" si="63"/>
        <v>0</v>
      </c>
      <c r="Z82" s="153">
        <f t="shared" si="63"/>
        <v>0</v>
      </c>
      <c r="AA82" s="153">
        <f t="shared" si="63"/>
        <v>0</v>
      </c>
      <c r="AB82" s="153">
        <f t="shared" si="63"/>
        <v>0</v>
      </c>
      <c r="AC82" s="153">
        <f t="shared" si="63"/>
        <v>0</v>
      </c>
      <c r="AD82" s="153">
        <f t="shared" si="63"/>
        <v>0</v>
      </c>
      <c r="AE82" s="153">
        <f t="shared" si="63"/>
        <v>0</v>
      </c>
      <c r="AF82" s="153">
        <f t="shared" si="63"/>
        <v>0</v>
      </c>
      <c r="AG82" s="153">
        <f t="shared" si="63"/>
        <v>0</v>
      </c>
      <c r="AH82" s="153">
        <f t="shared" si="63"/>
        <v>0</v>
      </c>
      <c r="AI82" s="153">
        <f t="shared" ref="AI82:BK82" si="64">AI11*1000*AI$71/100</f>
        <v>0</v>
      </c>
      <c r="AJ82" s="153">
        <f t="shared" si="64"/>
        <v>0</v>
      </c>
      <c r="AK82" s="153">
        <f t="shared" si="64"/>
        <v>0</v>
      </c>
      <c r="AL82" s="153">
        <f t="shared" si="64"/>
        <v>0</v>
      </c>
      <c r="AM82" s="153">
        <f t="shared" si="64"/>
        <v>0</v>
      </c>
      <c r="AN82" s="153">
        <f t="shared" si="64"/>
        <v>0</v>
      </c>
      <c r="AO82" s="153">
        <f t="shared" si="64"/>
        <v>0</v>
      </c>
      <c r="AP82" s="153">
        <f t="shared" si="64"/>
        <v>0</v>
      </c>
      <c r="AQ82" s="153">
        <f t="shared" si="64"/>
        <v>0</v>
      </c>
      <c r="AR82" s="153">
        <f t="shared" si="64"/>
        <v>0</v>
      </c>
      <c r="AS82" s="153">
        <f t="shared" si="64"/>
        <v>0</v>
      </c>
      <c r="AT82" s="153">
        <f t="shared" si="64"/>
        <v>0</v>
      </c>
      <c r="AU82" s="153">
        <f t="shared" si="64"/>
        <v>0</v>
      </c>
      <c r="AV82" s="153">
        <f t="shared" si="64"/>
        <v>0</v>
      </c>
      <c r="AW82" s="153">
        <f t="shared" si="64"/>
        <v>0</v>
      </c>
      <c r="AX82" s="153">
        <f t="shared" si="64"/>
        <v>0</v>
      </c>
      <c r="AY82" s="153">
        <f t="shared" si="64"/>
        <v>0</v>
      </c>
      <c r="AZ82" s="153">
        <f t="shared" si="64"/>
        <v>0</v>
      </c>
      <c r="BA82" s="153">
        <f t="shared" si="64"/>
        <v>0</v>
      </c>
      <c r="BB82" s="153">
        <f t="shared" si="64"/>
        <v>0</v>
      </c>
      <c r="BC82" s="153">
        <f t="shared" si="64"/>
        <v>0</v>
      </c>
      <c r="BD82" s="153">
        <f t="shared" si="64"/>
        <v>0</v>
      </c>
      <c r="BE82" s="153">
        <f t="shared" si="64"/>
        <v>0</v>
      </c>
      <c r="BF82" s="153">
        <f t="shared" si="64"/>
        <v>0</v>
      </c>
      <c r="BG82" s="153">
        <f t="shared" si="64"/>
        <v>0</v>
      </c>
      <c r="BH82" s="153">
        <f t="shared" si="64"/>
        <v>0</v>
      </c>
      <c r="BI82" s="153">
        <f t="shared" si="64"/>
        <v>0</v>
      </c>
      <c r="BJ82" s="153">
        <f t="shared" si="64"/>
        <v>0</v>
      </c>
      <c r="BK82" s="153">
        <f t="shared" si="64"/>
        <v>0</v>
      </c>
      <c r="BL82" s="154">
        <f t="shared" ca="1" si="61"/>
        <v>0</v>
      </c>
    </row>
    <row r="83" spans="2:64">
      <c r="B83" t="s">
        <v>808</v>
      </c>
      <c r="C83" s="153">
        <f t="shared" ref="C83:AH83" si="65">C12*1000*C$71/100</f>
        <v>0</v>
      </c>
      <c r="D83" s="153">
        <f t="shared" ca="1" si="65"/>
        <v>0</v>
      </c>
      <c r="E83" s="153">
        <f t="shared" ca="1" si="65"/>
        <v>0</v>
      </c>
      <c r="F83" s="153">
        <f t="shared" ca="1" si="65"/>
        <v>0</v>
      </c>
      <c r="G83" s="153">
        <f t="shared" ca="1" si="65"/>
        <v>0</v>
      </c>
      <c r="H83" s="153">
        <f t="shared" ca="1" si="65"/>
        <v>0</v>
      </c>
      <c r="I83" s="153">
        <f t="shared" ca="1" si="65"/>
        <v>0</v>
      </c>
      <c r="J83" s="153">
        <f t="shared" ca="1" si="65"/>
        <v>0</v>
      </c>
      <c r="K83" s="153">
        <f t="shared" ca="1" si="65"/>
        <v>0</v>
      </c>
      <c r="L83" s="153">
        <f t="shared" ca="1" si="65"/>
        <v>0</v>
      </c>
      <c r="M83" s="153">
        <f t="shared" ca="1" si="65"/>
        <v>0</v>
      </c>
      <c r="N83" s="153">
        <f t="shared" ca="1" si="65"/>
        <v>0</v>
      </c>
      <c r="O83" s="153">
        <f t="shared" ca="1" si="65"/>
        <v>0</v>
      </c>
      <c r="P83" s="153">
        <f t="shared" ca="1" si="65"/>
        <v>0</v>
      </c>
      <c r="Q83" s="153">
        <f t="shared" ca="1" si="65"/>
        <v>0</v>
      </c>
      <c r="R83" s="153">
        <f t="shared" ca="1" si="65"/>
        <v>0</v>
      </c>
      <c r="S83" s="153">
        <f t="shared" ca="1" si="65"/>
        <v>0</v>
      </c>
      <c r="T83" s="153">
        <f t="shared" ca="1" si="65"/>
        <v>0</v>
      </c>
      <c r="U83" s="153">
        <f t="shared" ca="1" si="65"/>
        <v>0</v>
      </c>
      <c r="V83" s="153">
        <f t="shared" ca="1" si="65"/>
        <v>0</v>
      </c>
      <c r="W83" s="153">
        <f t="shared" ca="1" si="65"/>
        <v>0</v>
      </c>
      <c r="X83" s="153">
        <f t="shared" si="65"/>
        <v>0</v>
      </c>
      <c r="Y83" s="153">
        <f t="shared" si="65"/>
        <v>0</v>
      </c>
      <c r="Z83" s="153">
        <f t="shared" si="65"/>
        <v>0</v>
      </c>
      <c r="AA83" s="153">
        <f t="shared" si="65"/>
        <v>0</v>
      </c>
      <c r="AB83" s="153">
        <f t="shared" si="65"/>
        <v>0</v>
      </c>
      <c r="AC83" s="153">
        <f t="shared" si="65"/>
        <v>0</v>
      </c>
      <c r="AD83" s="153">
        <f t="shared" si="65"/>
        <v>0</v>
      </c>
      <c r="AE83" s="153">
        <f t="shared" si="65"/>
        <v>0</v>
      </c>
      <c r="AF83" s="153">
        <f t="shared" si="65"/>
        <v>0</v>
      </c>
      <c r="AG83" s="153">
        <f t="shared" si="65"/>
        <v>0</v>
      </c>
      <c r="AH83" s="153">
        <f t="shared" si="65"/>
        <v>0</v>
      </c>
      <c r="AI83" s="153">
        <f t="shared" ref="AI83:BK83" si="66">AI12*1000*AI$71/100</f>
        <v>0</v>
      </c>
      <c r="AJ83" s="153">
        <f t="shared" si="66"/>
        <v>0</v>
      </c>
      <c r="AK83" s="153">
        <f t="shared" si="66"/>
        <v>0</v>
      </c>
      <c r="AL83" s="153">
        <f t="shared" si="66"/>
        <v>0</v>
      </c>
      <c r="AM83" s="153">
        <f t="shared" si="66"/>
        <v>0</v>
      </c>
      <c r="AN83" s="153">
        <f t="shared" si="66"/>
        <v>0</v>
      </c>
      <c r="AO83" s="153">
        <f t="shared" si="66"/>
        <v>0</v>
      </c>
      <c r="AP83" s="153">
        <f t="shared" si="66"/>
        <v>0</v>
      </c>
      <c r="AQ83" s="153">
        <f t="shared" si="66"/>
        <v>0</v>
      </c>
      <c r="AR83" s="153">
        <f t="shared" si="66"/>
        <v>0</v>
      </c>
      <c r="AS83" s="153">
        <f t="shared" si="66"/>
        <v>0</v>
      </c>
      <c r="AT83" s="153">
        <f t="shared" si="66"/>
        <v>0</v>
      </c>
      <c r="AU83" s="153">
        <f t="shared" si="66"/>
        <v>0</v>
      </c>
      <c r="AV83" s="153">
        <f t="shared" si="66"/>
        <v>0</v>
      </c>
      <c r="AW83" s="153">
        <f t="shared" si="66"/>
        <v>0</v>
      </c>
      <c r="AX83" s="153">
        <f t="shared" si="66"/>
        <v>0</v>
      </c>
      <c r="AY83" s="153">
        <f t="shared" si="66"/>
        <v>0</v>
      </c>
      <c r="AZ83" s="153">
        <f t="shared" si="66"/>
        <v>0</v>
      </c>
      <c r="BA83" s="153">
        <f t="shared" si="66"/>
        <v>0</v>
      </c>
      <c r="BB83" s="153">
        <f t="shared" si="66"/>
        <v>0</v>
      </c>
      <c r="BC83" s="153">
        <f t="shared" si="66"/>
        <v>0</v>
      </c>
      <c r="BD83" s="153">
        <f t="shared" si="66"/>
        <v>0</v>
      </c>
      <c r="BE83" s="153">
        <f t="shared" si="66"/>
        <v>0</v>
      </c>
      <c r="BF83" s="153">
        <f t="shared" si="66"/>
        <v>0</v>
      </c>
      <c r="BG83" s="153">
        <f t="shared" si="66"/>
        <v>0</v>
      </c>
      <c r="BH83" s="153">
        <f t="shared" si="66"/>
        <v>0</v>
      </c>
      <c r="BI83" s="153">
        <f t="shared" si="66"/>
        <v>0</v>
      </c>
      <c r="BJ83" s="153">
        <f t="shared" si="66"/>
        <v>0</v>
      </c>
      <c r="BK83" s="153">
        <f t="shared" si="66"/>
        <v>0</v>
      </c>
      <c r="BL83" s="154">
        <f t="shared" ca="1" si="61"/>
        <v>0</v>
      </c>
    </row>
    <row r="84" spans="2:64">
      <c r="B84" t="s">
        <v>809</v>
      </c>
      <c r="C84" s="153">
        <f t="shared" ref="C84:AH84" si="67">C13*1000*C$71/100</f>
        <v>0</v>
      </c>
      <c r="D84" s="153">
        <f t="shared" ca="1" si="67"/>
        <v>0</v>
      </c>
      <c r="E84" s="153">
        <f t="shared" ca="1" si="67"/>
        <v>0</v>
      </c>
      <c r="F84" s="153">
        <f t="shared" ca="1" si="67"/>
        <v>0</v>
      </c>
      <c r="G84" s="153">
        <f t="shared" ca="1" si="67"/>
        <v>0</v>
      </c>
      <c r="H84" s="153">
        <f t="shared" ca="1" si="67"/>
        <v>0</v>
      </c>
      <c r="I84" s="153">
        <f t="shared" ca="1" si="67"/>
        <v>0</v>
      </c>
      <c r="J84" s="153">
        <f t="shared" ca="1" si="67"/>
        <v>0</v>
      </c>
      <c r="K84" s="153">
        <f t="shared" ca="1" si="67"/>
        <v>0</v>
      </c>
      <c r="L84" s="153">
        <f t="shared" ca="1" si="67"/>
        <v>0</v>
      </c>
      <c r="M84" s="153">
        <f t="shared" ca="1" si="67"/>
        <v>0</v>
      </c>
      <c r="N84" s="153">
        <f t="shared" ca="1" si="67"/>
        <v>0</v>
      </c>
      <c r="O84" s="153">
        <f t="shared" ca="1" si="67"/>
        <v>0</v>
      </c>
      <c r="P84" s="153">
        <f t="shared" ca="1" si="67"/>
        <v>0</v>
      </c>
      <c r="Q84" s="153">
        <f t="shared" ca="1" si="67"/>
        <v>0</v>
      </c>
      <c r="R84" s="153">
        <f t="shared" ca="1" si="67"/>
        <v>0</v>
      </c>
      <c r="S84" s="153">
        <f t="shared" ca="1" si="67"/>
        <v>0</v>
      </c>
      <c r="T84" s="153">
        <f t="shared" ca="1" si="67"/>
        <v>0</v>
      </c>
      <c r="U84" s="153">
        <f t="shared" ca="1" si="67"/>
        <v>0</v>
      </c>
      <c r="V84" s="153">
        <f t="shared" ca="1" si="67"/>
        <v>0</v>
      </c>
      <c r="W84" s="153">
        <f t="shared" ca="1" si="67"/>
        <v>0</v>
      </c>
      <c r="X84" s="153">
        <f t="shared" si="67"/>
        <v>0</v>
      </c>
      <c r="Y84" s="153">
        <f t="shared" si="67"/>
        <v>0</v>
      </c>
      <c r="Z84" s="153">
        <f t="shared" si="67"/>
        <v>0</v>
      </c>
      <c r="AA84" s="153">
        <f t="shared" si="67"/>
        <v>0</v>
      </c>
      <c r="AB84" s="153">
        <f t="shared" si="67"/>
        <v>0</v>
      </c>
      <c r="AC84" s="153">
        <f t="shared" si="67"/>
        <v>0</v>
      </c>
      <c r="AD84" s="153">
        <f t="shared" si="67"/>
        <v>0</v>
      </c>
      <c r="AE84" s="153">
        <f t="shared" si="67"/>
        <v>0</v>
      </c>
      <c r="AF84" s="153">
        <f t="shared" si="67"/>
        <v>0</v>
      </c>
      <c r="AG84" s="153">
        <f t="shared" si="67"/>
        <v>0</v>
      </c>
      <c r="AH84" s="153">
        <f t="shared" si="67"/>
        <v>0</v>
      </c>
      <c r="AI84" s="153">
        <f t="shared" ref="AI84:BK84" si="68">AI13*1000*AI$71/100</f>
        <v>0</v>
      </c>
      <c r="AJ84" s="153">
        <f t="shared" si="68"/>
        <v>0</v>
      </c>
      <c r="AK84" s="153">
        <f t="shared" si="68"/>
        <v>0</v>
      </c>
      <c r="AL84" s="153">
        <f t="shared" si="68"/>
        <v>0</v>
      </c>
      <c r="AM84" s="153">
        <f t="shared" si="68"/>
        <v>0</v>
      </c>
      <c r="AN84" s="153">
        <f t="shared" si="68"/>
        <v>0</v>
      </c>
      <c r="AO84" s="153">
        <f t="shared" si="68"/>
        <v>0</v>
      </c>
      <c r="AP84" s="153">
        <f t="shared" si="68"/>
        <v>0</v>
      </c>
      <c r="AQ84" s="153">
        <f t="shared" si="68"/>
        <v>0</v>
      </c>
      <c r="AR84" s="153">
        <f t="shared" si="68"/>
        <v>0</v>
      </c>
      <c r="AS84" s="153">
        <f t="shared" si="68"/>
        <v>0</v>
      </c>
      <c r="AT84" s="153">
        <f t="shared" si="68"/>
        <v>0</v>
      </c>
      <c r="AU84" s="153">
        <f t="shared" si="68"/>
        <v>0</v>
      </c>
      <c r="AV84" s="153">
        <f t="shared" si="68"/>
        <v>0</v>
      </c>
      <c r="AW84" s="153">
        <f t="shared" si="68"/>
        <v>0</v>
      </c>
      <c r="AX84" s="153">
        <f t="shared" si="68"/>
        <v>0</v>
      </c>
      <c r="AY84" s="153">
        <f t="shared" si="68"/>
        <v>0</v>
      </c>
      <c r="AZ84" s="153">
        <f t="shared" si="68"/>
        <v>0</v>
      </c>
      <c r="BA84" s="153">
        <f t="shared" si="68"/>
        <v>0</v>
      </c>
      <c r="BB84" s="153">
        <f t="shared" si="68"/>
        <v>0</v>
      </c>
      <c r="BC84" s="153">
        <f t="shared" si="68"/>
        <v>0</v>
      </c>
      <c r="BD84" s="153">
        <f t="shared" si="68"/>
        <v>0</v>
      </c>
      <c r="BE84" s="153">
        <f t="shared" si="68"/>
        <v>0</v>
      </c>
      <c r="BF84" s="153">
        <f t="shared" si="68"/>
        <v>0</v>
      </c>
      <c r="BG84" s="153">
        <f t="shared" si="68"/>
        <v>0</v>
      </c>
      <c r="BH84" s="153">
        <f t="shared" si="68"/>
        <v>0</v>
      </c>
      <c r="BI84" s="153">
        <f t="shared" si="68"/>
        <v>0</v>
      </c>
      <c r="BJ84" s="153">
        <f t="shared" si="68"/>
        <v>0</v>
      </c>
      <c r="BK84" s="153">
        <f t="shared" si="68"/>
        <v>0</v>
      </c>
      <c r="BL84" s="154">
        <f t="shared" ca="1" si="61"/>
        <v>0</v>
      </c>
    </row>
    <row r="85" spans="2:64">
      <c r="B85" t="s">
        <v>810</v>
      </c>
      <c r="C85" s="153">
        <f t="shared" ref="C85:AH85" si="69">C14*1000*C$71/100</f>
        <v>0</v>
      </c>
      <c r="D85" s="153">
        <f t="shared" ca="1" si="69"/>
        <v>0</v>
      </c>
      <c r="E85" s="153">
        <f t="shared" ca="1" si="69"/>
        <v>0</v>
      </c>
      <c r="F85" s="153">
        <f t="shared" ca="1" si="69"/>
        <v>0</v>
      </c>
      <c r="G85" s="153">
        <f t="shared" ca="1" si="69"/>
        <v>0</v>
      </c>
      <c r="H85" s="153">
        <f t="shared" ca="1" si="69"/>
        <v>0</v>
      </c>
      <c r="I85" s="153">
        <f t="shared" ca="1" si="69"/>
        <v>0</v>
      </c>
      <c r="J85" s="153">
        <f t="shared" ca="1" si="69"/>
        <v>0</v>
      </c>
      <c r="K85" s="153">
        <f t="shared" ca="1" si="69"/>
        <v>0</v>
      </c>
      <c r="L85" s="153">
        <f t="shared" ca="1" si="69"/>
        <v>0</v>
      </c>
      <c r="M85" s="153">
        <f t="shared" ca="1" si="69"/>
        <v>0</v>
      </c>
      <c r="N85" s="153">
        <f t="shared" ca="1" si="69"/>
        <v>0</v>
      </c>
      <c r="O85" s="153">
        <f t="shared" ca="1" si="69"/>
        <v>0</v>
      </c>
      <c r="P85" s="153">
        <f t="shared" ca="1" si="69"/>
        <v>0</v>
      </c>
      <c r="Q85" s="153">
        <f t="shared" ca="1" si="69"/>
        <v>0</v>
      </c>
      <c r="R85" s="153">
        <f t="shared" ca="1" si="69"/>
        <v>0</v>
      </c>
      <c r="S85" s="153">
        <f t="shared" ca="1" si="69"/>
        <v>0</v>
      </c>
      <c r="T85" s="153">
        <f t="shared" ca="1" si="69"/>
        <v>0</v>
      </c>
      <c r="U85" s="153">
        <f t="shared" ca="1" si="69"/>
        <v>0</v>
      </c>
      <c r="V85" s="153">
        <f t="shared" ca="1" si="69"/>
        <v>0</v>
      </c>
      <c r="W85" s="153">
        <f t="shared" ca="1" si="69"/>
        <v>0</v>
      </c>
      <c r="X85" s="153">
        <f t="shared" si="69"/>
        <v>0</v>
      </c>
      <c r="Y85" s="153">
        <f t="shared" si="69"/>
        <v>0</v>
      </c>
      <c r="Z85" s="153">
        <f t="shared" si="69"/>
        <v>0</v>
      </c>
      <c r="AA85" s="153">
        <f t="shared" si="69"/>
        <v>0</v>
      </c>
      <c r="AB85" s="153">
        <f t="shared" si="69"/>
        <v>0</v>
      </c>
      <c r="AC85" s="153">
        <f t="shared" si="69"/>
        <v>0</v>
      </c>
      <c r="AD85" s="153">
        <f t="shared" si="69"/>
        <v>0</v>
      </c>
      <c r="AE85" s="153">
        <f t="shared" si="69"/>
        <v>0</v>
      </c>
      <c r="AF85" s="153">
        <f t="shared" si="69"/>
        <v>0</v>
      </c>
      <c r="AG85" s="153">
        <f t="shared" si="69"/>
        <v>0</v>
      </c>
      <c r="AH85" s="153">
        <f t="shared" si="69"/>
        <v>0</v>
      </c>
      <c r="AI85" s="153">
        <f t="shared" ref="AI85:BK85" si="70">AI14*1000*AI$71/100</f>
        <v>0</v>
      </c>
      <c r="AJ85" s="153">
        <f t="shared" si="70"/>
        <v>0</v>
      </c>
      <c r="AK85" s="153">
        <f t="shared" si="70"/>
        <v>0</v>
      </c>
      <c r="AL85" s="153">
        <f t="shared" si="70"/>
        <v>0</v>
      </c>
      <c r="AM85" s="153">
        <f t="shared" si="70"/>
        <v>0</v>
      </c>
      <c r="AN85" s="153">
        <f t="shared" si="70"/>
        <v>0</v>
      </c>
      <c r="AO85" s="153">
        <f t="shared" si="70"/>
        <v>0</v>
      </c>
      <c r="AP85" s="153">
        <f t="shared" si="70"/>
        <v>0</v>
      </c>
      <c r="AQ85" s="153">
        <f t="shared" si="70"/>
        <v>0</v>
      </c>
      <c r="AR85" s="153">
        <f t="shared" si="70"/>
        <v>0</v>
      </c>
      <c r="AS85" s="153">
        <f t="shared" si="70"/>
        <v>0</v>
      </c>
      <c r="AT85" s="153">
        <f t="shared" si="70"/>
        <v>0</v>
      </c>
      <c r="AU85" s="153">
        <f t="shared" si="70"/>
        <v>0</v>
      </c>
      <c r="AV85" s="153">
        <f t="shared" si="70"/>
        <v>0</v>
      </c>
      <c r="AW85" s="153">
        <f t="shared" si="70"/>
        <v>0</v>
      </c>
      <c r="AX85" s="153">
        <f t="shared" si="70"/>
        <v>0</v>
      </c>
      <c r="AY85" s="153">
        <f t="shared" si="70"/>
        <v>0</v>
      </c>
      <c r="AZ85" s="153">
        <f t="shared" si="70"/>
        <v>0</v>
      </c>
      <c r="BA85" s="153">
        <f t="shared" si="70"/>
        <v>0</v>
      </c>
      <c r="BB85" s="153">
        <f t="shared" si="70"/>
        <v>0</v>
      </c>
      <c r="BC85" s="153">
        <f t="shared" si="70"/>
        <v>0</v>
      </c>
      <c r="BD85" s="153">
        <f t="shared" si="70"/>
        <v>0</v>
      </c>
      <c r="BE85" s="153">
        <f t="shared" si="70"/>
        <v>0</v>
      </c>
      <c r="BF85" s="153">
        <f t="shared" si="70"/>
        <v>0</v>
      </c>
      <c r="BG85" s="153">
        <f t="shared" si="70"/>
        <v>0</v>
      </c>
      <c r="BH85" s="153">
        <f t="shared" si="70"/>
        <v>0</v>
      </c>
      <c r="BI85" s="153">
        <f t="shared" si="70"/>
        <v>0</v>
      </c>
      <c r="BJ85" s="153">
        <f t="shared" si="70"/>
        <v>0</v>
      </c>
      <c r="BK85" s="153">
        <f t="shared" si="70"/>
        <v>0</v>
      </c>
      <c r="BL85" s="154">
        <f t="shared" ca="1" si="61"/>
        <v>0</v>
      </c>
    </row>
    <row r="86" spans="2:64">
      <c r="B86" t="s">
        <v>811</v>
      </c>
      <c r="C86" s="153">
        <f>SUM(C82:C85)</f>
        <v>0</v>
      </c>
      <c r="D86" s="153">
        <f t="shared" ref="D86:BK86" ca="1" si="71">SUM(D82:D85)</f>
        <v>0</v>
      </c>
      <c r="E86" s="153">
        <f t="shared" ca="1" si="71"/>
        <v>0</v>
      </c>
      <c r="F86" s="153">
        <f t="shared" ca="1" si="71"/>
        <v>0</v>
      </c>
      <c r="G86" s="153">
        <f t="shared" ca="1" si="71"/>
        <v>0</v>
      </c>
      <c r="H86" s="153">
        <f t="shared" ca="1" si="71"/>
        <v>0</v>
      </c>
      <c r="I86" s="153">
        <f t="shared" ca="1" si="71"/>
        <v>0</v>
      </c>
      <c r="J86" s="153">
        <f t="shared" ca="1" si="71"/>
        <v>0</v>
      </c>
      <c r="K86" s="153">
        <f t="shared" ca="1" si="71"/>
        <v>0</v>
      </c>
      <c r="L86" s="153">
        <f t="shared" ca="1" si="71"/>
        <v>0</v>
      </c>
      <c r="M86" s="153">
        <f t="shared" ca="1" si="71"/>
        <v>0</v>
      </c>
      <c r="N86" s="153">
        <f t="shared" ca="1" si="71"/>
        <v>0</v>
      </c>
      <c r="O86" s="153">
        <f t="shared" ca="1" si="71"/>
        <v>0</v>
      </c>
      <c r="P86" s="153">
        <f t="shared" ca="1" si="71"/>
        <v>0</v>
      </c>
      <c r="Q86" s="153">
        <f t="shared" ca="1" si="71"/>
        <v>0</v>
      </c>
      <c r="R86" s="153">
        <f t="shared" ca="1" si="71"/>
        <v>0</v>
      </c>
      <c r="S86" s="153">
        <f t="shared" ca="1" si="71"/>
        <v>0</v>
      </c>
      <c r="T86" s="153">
        <f t="shared" ca="1" si="71"/>
        <v>0</v>
      </c>
      <c r="U86" s="153">
        <f t="shared" ca="1" si="71"/>
        <v>0</v>
      </c>
      <c r="V86" s="153">
        <f t="shared" ca="1" si="71"/>
        <v>0</v>
      </c>
      <c r="W86" s="153">
        <f t="shared" ca="1" si="71"/>
        <v>0</v>
      </c>
      <c r="X86" s="153">
        <f t="shared" si="71"/>
        <v>0</v>
      </c>
      <c r="Y86" s="153">
        <f t="shared" si="71"/>
        <v>0</v>
      </c>
      <c r="Z86" s="153">
        <f t="shared" si="71"/>
        <v>0</v>
      </c>
      <c r="AA86" s="153">
        <f t="shared" si="71"/>
        <v>0</v>
      </c>
      <c r="AB86" s="153">
        <f t="shared" si="71"/>
        <v>0</v>
      </c>
      <c r="AC86" s="153">
        <f t="shared" si="71"/>
        <v>0</v>
      </c>
      <c r="AD86" s="153">
        <f t="shared" si="71"/>
        <v>0</v>
      </c>
      <c r="AE86" s="153">
        <f t="shared" si="71"/>
        <v>0</v>
      </c>
      <c r="AF86" s="153">
        <f t="shared" si="71"/>
        <v>0</v>
      </c>
      <c r="AG86" s="153">
        <f t="shared" si="71"/>
        <v>0</v>
      </c>
      <c r="AH86" s="153">
        <f t="shared" si="71"/>
        <v>0</v>
      </c>
      <c r="AI86" s="153">
        <f t="shared" si="71"/>
        <v>0</v>
      </c>
      <c r="AJ86" s="153">
        <f t="shared" si="71"/>
        <v>0</v>
      </c>
      <c r="AK86" s="153">
        <f t="shared" si="71"/>
        <v>0</v>
      </c>
      <c r="AL86" s="153">
        <f t="shared" si="71"/>
        <v>0</v>
      </c>
      <c r="AM86" s="153">
        <f t="shared" si="71"/>
        <v>0</v>
      </c>
      <c r="AN86" s="153">
        <f t="shared" si="71"/>
        <v>0</v>
      </c>
      <c r="AO86" s="153">
        <f t="shared" si="71"/>
        <v>0</v>
      </c>
      <c r="AP86" s="153">
        <f t="shared" si="71"/>
        <v>0</v>
      </c>
      <c r="AQ86" s="153">
        <f t="shared" si="71"/>
        <v>0</v>
      </c>
      <c r="AR86" s="153">
        <f t="shared" si="71"/>
        <v>0</v>
      </c>
      <c r="AS86" s="153">
        <f t="shared" si="71"/>
        <v>0</v>
      </c>
      <c r="AT86" s="153">
        <f t="shared" si="71"/>
        <v>0</v>
      </c>
      <c r="AU86" s="153">
        <f t="shared" si="71"/>
        <v>0</v>
      </c>
      <c r="AV86" s="153">
        <f t="shared" si="71"/>
        <v>0</v>
      </c>
      <c r="AW86" s="153">
        <f t="shared" si="71"/>
        <v>0</v>
      </c>
      <c r="AX86" s="153">
        <f t="shared" si="71"/>
        <v>0</v>
      </c>
      <c r="AY86" s="153">
        <f t="shared" si="71"/>
        <v>0</v>
      </c>
      <c r="AZ86" s="153">
        <f t="shared" si="71"/>
        <v>0</v>
      </c>
      <c r="BA86" s="153">
        <f t="shared" si="71"/>
        <v>0</v>
      </c>
      <c r="BB86" s="153">
        <f t="shared" si="71"/>
        <v>0</v>
      </c>
      <c r="BC86" s="153">
        <f t="shared" si="71"/>
        <v>0</v>
      </c>
      <c r="BD86" s="153">
        <f t="shared" si="71"/>
        <v>0</v>
      </c>
      <c r="BE86" s="153">
        <f t="shared" si="71"/>
        <v>0</v>
      </c>
      <c r="BF86" s="153">
        <f t="shared" si="71"/>
        <v>0</v>
      </c>
      <c r="BG86" s="153">
        <f t="shared" si="71"/>
        <v>0</v>
      </c>
      <c r="BH86" s="153">
        <f t="shared" si="71"/>
        <v>0</v>
      </c>
      <c r="BI86" s="153">
        <f t="shared" si="71"/>
        <v>0</v>
      </c>
      <c r="BJ86" s="153">
        <f t="shared" si="71"/>
        <v>0</v>
      </c>
      <c r="BK86" s="153">
        <f t="shared" si="71"/>
        <v>0</v>
      </c>
      <c r="BL86" s="154">
        <f t="shared" ca="1" si="61"/>
        <v>0</v>
      </c>
    </row>
    <row r="87" spans="2:64">
      <c r="B87" t="s">
        <v>825</v>
      </c>
      <c r="C87" s="178">
        <f>C81+C86</f>
        <v>0</v>
      </c>
      <c r="D87" s="178">
        <f t="shared" ref="D87:BK87" ca="1" si="72">D81+D86</f>
        <v>389931.62704294879</v>
      </c>
      <c r="E87" s="178">
        <f t="shared" ca="1" si="72"/>
        <v>380254.23725890502</v>
      </c>
      <c r="F87" s="178">
        <f t="shared" ca="1" si="72"/>
        <v>356737.85989549209</v>
      </c>
      <c r="G87" s="178">
        <f t="shared" ca="1" si="72"/>
        <v>354535.69399730535</v>
      </c>
      <c r="H87" s="178">
        <f t="shared" ca="1" si="72"/>
        <v>349935.0630720706</v>
      </c>
      <c r="I87" s="178">
        <f t="shared" ca="1" si="72"/>
        <v>339645.62919859216</v>
      </c>
      <c r="J87" s="178">
        <f t="shared" ca="1" si="72"/>
        <v>327786.36713874532</v>
      </c>
      <c r="K87" s="178">
        <f t="shared" ca="1" si="72"/>
        <v>319309.84083766845</v>
      </c>
      <c r="L87" s="178">
        <f t="shared" ca="1" si="72"/>
        <v>300114.95794362592</v>
      </c>
      <c r="M87" s="178">
        <f t="shared" ca="1" si="72"/>
        <v>289966.14294070139</v>
      </c>
      <c r="N87" s="178">
        <f t="shared" ca="1" si="72"/>
        <v>280160.52458038781</v>
      </c>
      <c r="O87" s="178">
        <f t="shared" ca="1" si="72"/>
        <v>270686.49717911868</v>
      </c>
      <c r="P87" s="178">
        <f t="shared" ca="1" si="72"/>
        <v>261532.84751605676</v>
      </c>
      <c r="Q87" s="178">
        <f t="shared" ca="1" si="72"/>
        <v>252688.74156140751</v>
      </c>
      <c r="R87" s="178">
        <f t="shared" ca="1" si="72"/>
        <v>244143.7116535338</v>
      </c>
      <c r="S87" s="178">
        <f t="shared" ca="1" si="72"/>
        <v>235887.64410969455</v>
      </c>
      <c r="T87" s="178">
        <f t="shared" ca="1" si="72"/>
        <v>227910.7672557435</v>
      </c>
      <c r="U87" s="178">
        <f t="shared" ca="1" si="72"/>
        <v>220203.63986062177</v>
      </c>
      <c r="V87" s="178">
        <f t="shared" ca="1" si="72"/>
        <v>212757.13996195339</v>
      </c>
      <c r="W87" s="178">
        <f t="shared" ca="1" si="72"/>
        <v>205562.4540695202</v>
      </c>
      <c r="X87" s="178">
        <f t="shared" ca="1" si="72"/>
        <v>198611.06673383596</v>
      </c>
      <c r="Y87" s="178">
        <f t="shared" ca="1" si="72"/>
        <v>191894.75046747434</v>
      </c>
      <c r="Z87" s="178">
        <f t="shared" ca="1" si="72"/>
        <v>185405.55600722166</v>
      </c>
      <c r="AA87" s="178">
        <f t="shared" ca="1" si="72"/>
        <v>179135.80290552817</v>
      </c>
      <c r="AB87" s="178">
        <f t="shared" ca="1" si="72"/>
        <v>173078.07044012391</v>
      </c>
      <c r="AC87" s="178">
        <f t="shared" ca="1" si="72"/>
        <v>167225.18883103758</v>
      </c>
      <c r="AD87" s="178">
        <f t="shared" ca="1" si="72"/>
        <v>161570.23075462569</v>
      </c>
      <c r="AE87" s="178">
        <f t="shared" ca="1" si="72"/>
        <v>156106.50314456591</v>
      </c>
      <c r="AF87" s="178">
        <f t="shared" ca="1" si="72"/>
        <v>150827.539270112</v>
      </c>
      <c r="AG87" s="178">
        <f t="shared" ca="1" si="72"/>
        <v>145727.09108223379</v>
      </c>
      <c r="AH87" s="178">
        <f t="shared" ca="1" si="72"/>
        <v>141482.61270119785</v>
      </c>
      <c r="AI87" s="178">
        <f t="shared" ca="1" si="72"/>
        <v>137361.75990407565</v>
      </c>
      <c r="AJ87" s="178">
        <f t="shared" ca="1" si="72"/>
        <v>133360.93194570448</v>
      </c>
      <c r="AK87" s="178">
        <f t="shared" ca="1" si="72"/>
        <v>129476.63295699465</v>
      </c>
      <c r="AL87" s="178">
        <f t="shared" ca="1" si="72"/>
        <v>125705.46889028604</v>
      </c>
      <c r="AM87" s="178">
        <f t="shared" ca="1" si="72"/>
        <v>122044.1445536758</v>
      </c>
      <c r="AN87" s="178">
        <f t="shared" ca="1" si="72"/>
        <v>118489.46073172404</v>
      </c>
      <c r="AO87" s="178">
        <f t="shared" ca="1" si="72"/>
        <v>115038.31139002334</v>
      </c>
      <c r="AP87" s="178">
        <f t="shared" ca="1" si="72"/>
        <v>111687.68096118774</v>
      </c>
      <c r="AQ87" s="178">
        <f t="shared" ca="1" si="72"/>
        <v>108434.641709891</v>
      </c>
      <c r="AR87" s="178">
        <f t="shared" ca="1" si="72"/>
        <v>105276.35117465144</v>
      </c>
      <c r="AS87" s="178">
        <f t="shared" ca="1" si="72"/>
        <v>102210.04968412763</v>
      </c>
      <c r="AT87" s="178">
        <f t="shared" ca="1" si="72"/>
        <v>99233.057945755005</v>
      </c>
      <c r="AU87" s="178">
        <f t="shared" ca="1" si="72"/>
        <v>96342.774704616488</v>
      </c>
      <c r="AV87" s="178">
        <f t="shared" ca="1" si="72"/>
        <v>93536.674470501443</v>
      </c>
      <c r="AW87" s="178">
        <f t="shared" ca="1" si="72"/>
        <v>90812.305311166449</v>
      </c>
      <c r="AX87" s="178">
        <f t="shared" ca="1" si="72"/>
        <v>88167.286709870328</v>
      </c>
      <c r="AY87" s="178">
        <f t="shared" ca="1" si="72"/>
        <v>85599.307485311016</v>
      </c>
      <c r="AZ87" s="178">
        <f t="shared" ca="1" si="72"/>
        <v>83106.123772146602</v>
      </c>
      <c r="BA87" s="178">
        <f t="shared" ca="1" si="72"/>
        <v>80685.557060336519</v>
      </c>
      <c r="BB87" s="178">
        <f t="shared" ca="1" si="72"/>
        <v>78335.492291588831</v>
      </c>
      <c r="BC87" s="178">
        <f t="shared" ca="1" si="72"/>
        <v>76053.876011251312</v>
      </c>
      <c r="BD87" s="178">
        <f t="shared" ca="1" si="72"/>
        <v>73838.714574030397</v>
      </c>
      <c r="BE87" s="178">
        <f t="shared" ca="1" si="72"/>
        <v>71688.072401971265</v>
      </c>
      <c r="BF87" s="178">
        <f t="shared" ca="1" si="72"/>
        <v>69600.070293175973</v>
      </c>
      <c r="BG87" s="178">
        <f t="shared" ca="1" si="72"/>
        <v>67572.883779782482</v>
      </c>
      <c r="BH87" s="178">
        <f t="shared" ca="1" si="72"/>
        <v>65604.741533769411</v>
      </c>
      <c r="BI87" s="178">
        <f t="shared" ca="1" si="72"/>
        <v>63693.923819193602</v>
      </c>
      <c r="BJ87" s="178">
        <f t="shared" ca="1" si="72"/>
        <v>61838.760989508359</v>
      </c>
      <c r="BK87" s="178">
        <f t="shared" ca="1" si="72"/>
        <v>60037.632028648899</v>
      </c>
      <c r="BL87" s="154">
        <f t="shared" ca="1" si="61"/>
        <v>10385648.48849701</v>
      </c>
    </row>
    <row r="89" spans="2:64">
      <c r="B89" s="1" t="s">
        <v>863</v>
      </c>
      <c r="D89" s="175"/>
    </row>
    <row r="90" spans="2:64">
      <c r="B90" s="41" t="s">
        <v>719</v>
      </c>
      <c r="C90" s="101">
        <f>INPUT!C8</f>
        <v>2026</v>
      </c>
      <c r="D90" s="101">
        <f>C90+1</f>
        <v>2027</v>
      </c>
      <c r="E90" s="101">
        <f t="shared" ref="E90:BK90" si="73">D90+1</f>
        <v>2028</v>
      </c>
      <c r="F90" s="101">
        <f t="shared" si="73"/>
        <v>2029</v>
      </c>
      <c r="G90" s="101">
        <f t="shared" si="73"/>
        <v>2030</v>
      </c>
      <c r="H90" s="101">
        <f t="shared" si="73"/>
        <v>2031</v>
      </c>
      <c r="I90" s="101">
        <f t="shared" si="73"/>
        <v>2032</v>
      </c>
      <c r="J90" s="101">
        <f t="shared" si="73"/>
        <v>2033</v>
      </c>
      <c r="K90" s="101">
        <f t="shared" si="73"/>
        <v>2034</v>
      </c>
      <c r="L90" s="101">
        <f t="shared" si="73"/>
        <v>2035</v>
      </c>
      <c r="M90" s="101">
        <f t="shared" si="73"/>
        <v>2036</v>
      </c>
      <c r="N90" s="101">
        <f t="shared" si="73"/>
        <v>2037</v>
      </c>
      <c r="O90" s="101">
        <f t="shared" si="73"/>
        <v>2038</v>
      </c>
      <c r="P90" s="101">
        <f t="shared" si="73"/>
        <v>2039</v>
      </c>
      <c r="Q90" s="101">
        <f t="shared" si="73"/>
        <v>2040</v>
      </c>
      <c r="R90" s="101">
        <f t="shared" si="73"/>
        <v>2041</v>
      </c>
      <c r="S90" s="101">
        <f t="shared" si="73"/>
        <v>2042</v>
      </c>
      <c r="T90" s="101">
        <f t="shared" si="73"/>
        <v>2043</v>
      </c>
      <c r="U90" s="101">
        <f t="shared" si="73"/>
        <v>2044</v>
      </c>
      <c r="V90" s="101">
        <f t="shared" si="73"/>
        <v>2045</v>
      </c>
      <c r="W90" s="101">
        <f t="shared" si="73"/>
        <v>2046</v>
      </c>
      <c r="X90" s="101">
        <f t="shared" si="73"/>
        <v>2047</v>
      </c>
      <c r="Y90" s="101">
        <f t="shared" si="73"/>
        <v>2048</v>
      </c>
      <c r="Z90" s="101">
        <f t="shared" si="73"/>
        <v>2049</v>
      </c>
      <c r="AA90" s="101">
        <f t="shared" si="73"/>
        <v>2050</v>
      </c>
      <c r="AB90" s="101">
        <f t="shared" si="73"/>
        <v>2051</v>
      </c>
      <c r="AC90" s="101">
        <f t="shared" si="73"/>
        <v>2052</v>
      </c>
      <c r="AD90" s="101">
        <f t="shared" si="73"/>
        <v>2053</v>
      </c>
      <c r="AE90" s="101">
        <f t="shared" si="73"/>
        <v>2054</v>
      </c>
      <c r="AF90" s="101">
        <f t="shared" si="73"/>
        <v>2055</v>
      </c>
      <c r="AG90" s="101">
        <f t="shared" si="73"/>
        <v>2056</v>
      </c>
      <c r="AH90" s="101">
        <f t="shared" si="73"/>
        <v>2057</v>
      </c>
      <c r="AI90" s="101">
        <f t="shared" si="73"/>
        <v>2058</v>
      </c>
      <c r="AJ90" s="101">
        <f t="shared" si="73"/>
        <v>2059</v>
      </c>
      <c r="AK90" s="101">
        <f t="shared" si="73"/>
        <v>2060</v>
      </c>
      <c r="AL90" s="101">
        <f t="shared" si="73"/>
        <v>2061</v>
      </c>
      <c r="AM90" s="101">
        <f t="shared" si="73"/>
        <v>2062</v>
      </c>
      <c r="AN90" s="101">
        <f t="shared" si="73"/>
        <v>2063</v>
      </c>
      <c r="AO90" s="101">
        <f t="shared" si="73"/>
        <v>2064</v>
      </c>
      <c r="AP90" s="101">
        <f t="shared" si="73"/>
        <v>2065</v>
      </c>
      <c r="AQ90" s="101">
        <f t="shared" si="73"/>
        <v>2066</v>
      </c>
      <c r="AR90" s="101">
        <f t="shared" si="73"/>
        <v>2067</v>
      </c>
      <c r="AS90" s="101">
        <f t="shared" si="73"/>
        <v>2068</v>
      </c>
      <c r="AT90" s="101">
        <f t="shared" si="73"/>
        <v>2069</v>
      </c>
      <c r="AU90" s="101">
        <f t="shared" si="73"/>
        <v>2070</v>
      </c>
      <c r="AV90" s="101">
        <f t="shared" si="73"/>
        <v>2071</v>
      </c>
      <c r="AW90" s="101">
        <f t="shared" si="73"/>
        <v>2072</v>
      </c>
      <c r="AX90" s="101">
        <f t="shared" si="73"/>
        <v>2073</v>
      </c>
      <c r="AY90" s="101">
        <f t="shared" si="73"/>
        <v>2074</v>
      </c>
      <c r="AZ90" s="101">
        <f t="shared" si="73"/>
        <v>2075</v>
      </c>
      <c r="BA90" s="101">
        <f t="shared" si="73"/>
        <v>2076</v>
      </c>
      <c r="BB90" s="101">
        <f t="shared" si="73"/>
        <v>2077</v>
      </c>
      <c r="BC90" s="101">
        <f t="shared" si="73"/>
        <v>2078</v>
      </c>
      <c r="BD90" s="101">
        <f t="shared" si="73"/>
        <v>2079</v>
      </c>
      <c r="BE90" s="101">
        <f t="shared" si="73"/>
        <v>2080</v>
      </c>
      <c r="BF90" s="101">
        <f t="shared" si="73"/>
        <v>2081</v>
      </c>
      <c r="BG90" s="101">
        <f t="shared" si="73"/>
        <v>2082</v>
      </c>
      <c r="BH90" s="101">
        <f t="shared" si="73"/>
        <v>2083</v>
      </c>
      <c r="BI90" s="101">
        <f t="shared" si="73"/>
        <v>2084</v>
      </c>
      <c r="BJ90" s="101">
        <f t="shared" si="73"/>
        <v>2085</v>
      </c>
      <c r="BK90" s="101">
        <f t="shared" si="73"/>
        <v>2086</v>
      </c>
      <c r="BL90" s="101" t="s">
        <v>501</v>
      </c>
    </row>
    <row r="91" spans="2:64">
      <c r="B91" t="s">
        <v>826</v>
      </c>
      <c r="C91" s="153">
        <f>IF(C41&gt;0,C41*C$73,0)</f>
        <v>667593.6511565781</v>
      </c>
      <c r="D91" s="153">
        <f t="shared" ref="D91:BK91" ca="1" si="74">IF(D41&gt;0,D41*D$73,0)</f>
        <v>1121.7406811132846</v>
      </c>
      <c r="E91" s="153">
        <f t="shared" ca="1" si="74"/>
        <v>945.32826412016425</v>
      </c>
      <c r="F91" s="153">
        <f t="shared" ca="1" si="74"/>
        <v>854.69703940629438</v>
      </c>
      <c r="G91" s="153">
        <f t="shared" ca="1" si="74"/>
        <v>785.60990361999006</v>
      </c>
      <c r="H91" s="153">
        <f t="shared" ca="1" si="74"/>
        <v>773.00690355164363</v>
      </c>
      <c r="I91" s="153">
        <f t="shared" ca="1" si="74"/>
        <v>646.42168206009023</v>
      </c>
      <c r="J91" s="153">
        <f t="shared" ca="1" si="74"/>
        <v>549.64925385393303</v>
      </c>
      <c r="K91" s="153">
        <f t="shared" ca="1" si="74"/>
        <v>450.27760948469546</v>
      </c>
      <c r="L91" s="153">
        <f t="shared" ca="1" si="74"/>
        <v>342.01017346748489</v>
      </c>
      <c r="M91" s="153">
        <f t="shared" ca="1" si="74"/>
        <v>306.7735394688782</v>
      </c>
      <c r="N91" s="153">
        <f t="shared" ca="1" si="74"/>
        <v>267.72860411186491</v>
      </c>
      <c r="O91" s="153">
        <f t="shared" ca="1" si="74"/>
        <v>245.83313001285066</v>
      </c>
      <c r="P91" s="153">
        <f t="shared" ca="1" si="74"/>
        <v>226.99134101701412</v>
      </c>
      <c r="Q91" s="153">
        <f t="shared" ca="1" si="74"/>
        <v>199.54613287912792</v>
      </c>
      <c r="R91" s="153">
        <f t="shared" ca="1" si="74"/>
        <v>37685.296102104985</v>
      </c>
      <c r="S91" s="153">
        <f t="shared" ca="1" si="74"/>
        <v>109.96014216110116</v>
      </c>
      <c r="T91" s="153">
        <f t="shared" ca="1" si="74"/>
        <v>102.86230879189935</v>
      </c>
      <c r="U91" s="153">
        <f t="shared" ca="1" si="74"/>
        <v>95.011478088931881</v>
      </c>
      <c r="V91" s="153">
        <f t="shared" ca="1" si="74"/>
        <v>60.071414421693213</v>
      </c>
      <c r="W91" s="153">
        <f t="shared" ca="1" si="74"/>
        <v>52.032991976183744</v>
      </c>
      <c r="X91" s="153">
        <f t="shared" ca="1" si="74"/>
        <v>39.005292941307118</v>
      </c>
      <c r="Y91" s="153">
        <f t="shared" ca="1" si="74"/>
        <v>37.236374899124897</v>
      </c>
      <c r="Z91" s="153">
        <f t="shared" ca="1" si="74"/>
        <v>34.403331928516025</v>
      </c>
      <c r="AA91" s="153">
        <f t="shared" ca="1" si="74"/>
        <v>32.704775196204963</v>
      </c>
      <c r="AB91" s="153">
        <f t="shared" ca="1" si="74"/>
        <v>95037.773367552509</v>
      </c>
      <c r="AC91" s="153">
        <f t="shared" ca="1" si="74"/>
        <v>30.530257598735066</v>
      </c>
      <c r="AD91" s="153">
        <f t="shared" ca="1" si="74"/>
        <v>29.497833428729535</v>
      </c>
      <c r="AE91" s="153">
        <f t="shared" ca="1" si="74"/>
        <v>28.500322153361868</v>
      </c>
      <c r="AF91" s="153">
        <f t="shared" ca="1" si="74"/>
        <v>27.536543143344804</v>
      </c>
      <c r="AG91" s="153">
        <f t="shared" ca="1" si="74"/>
        <v>26.605355694052953</v>
      </c>
      <c r="AH91" s="153">
        <f t="shared" ca="1" si="74"/>
        <v>25.830442421410631</v>
      </c>
      <c r="AI91" s="153">
        <f t="shared" ca="1" si="74"/>
        <v>25.078099438262754</v>
      </c>
      <c r="AJ91" s="153">
        <f t="shared" ca="1" si="74"/>
        <v>24.347669357536653</v>
      </c>
      <c r="AK91" s="153">
        <f t="shared" ca="1" si="74"/>
        <v>23.63851393935597</v>
      </c>
      <c r="AL91" s="153">
        <f t="shared" ca="1" si="74"/>
        <v>22.950013533355314</v>
      </c>
      <c r="AM91" s="153">
        <f t="shared" ca="1" si="74"/>
        <v>22.281566537238167</v>
      </c>
      <c r="AN91" s="153">
        <f t="shared" ca="1" si="74"/>
        <v>21.632588871105014</v>
      </c>
      <c r="AO91" s="153">
        <f t="shared" ca="1" si="74"/>
        <v>21.00251346709225</v>
      </c>
      <c r="AP91" s="153">
        <f t="shared" ca="1" si="74"/>
        <v>20.390789773875973</v>
      </c>
      <c r="AQ91" s="153">
        <f t="shared" ca="1" si="74"/>
        <v>19.79688327560774</v>
      </c>
      <c r="AR91" s="153">
        <f t="shared" ca="1" si="74"/>
        <v>19.220275024861881</v>
      </c>
      <c r="AS91" s="153">
        <f t="shared" ca="1" si="74"/>
        <v>18.660461189186297</v>
      </c>
      <c r="AT91" s="153">
        <f t="shared" ca="1" si="74"/>
        <v>18.11695261086048</v>
      </c>
      <c r="AU91" s="153">
        <f t="shared" ca="1" si="74"/>
        <v>17.589274379476194</v>
      </c>
      <c r="AV91" s="153">
        <f t="shared" ca="1" si="74"/>
        <v>17.07696541696718</v>
      </c>
      <c r="AW91" s="153">
        <f t="shared" ca="1" si="74"/>
        <v>16.579578074725415</v>
      </c>
      <c r="AX91" s="153">
        <f t="shared" ca="1" si="74"/>
        <v>16.09667774245186</v>
      </c>
      <c r="AY91" s="153">
        <f t="shared" ca="1" si="74"/>
        <v>15.627842468399864</v>
      </c>
      <c r="AZ91" s="153">
        <f t="shared" ca="1" si="74"/>
        <v>15.172662590679479</v>
      </c>
      <c r="BA91" s="153">
        <f t="shared" ca="1" si="74"/>
        <v>17505.045510920019</v>
      </c>
      <c r="BB91" s="153">
        <f t="shared" ca="1" si="74"/>
        <v>14.301689688641229</v>
      </c>
      <c r="BC91" s="153">
        <f t="shared" ca="1" si="74"/>
        <v>13.885135620040026</v>
      </c>
      <c r="BD91" s="153">
        <f t="shared" ca="1" si="74"/>
        <v>13.48071419421362</v>
      </c>
      <c r="BE91" s="153">
        <f t="shared" ca="1" si="74"/>
        <v>13.088072033217106</v>
      </c>
      <c r="BF91" s="153">
        <f t="shared" ca="1" si="74"/>
        <v>12.706866051667093</v>
      </c>
      <c r="BG91" s="153">
        <f t="shared" ca="1" si="74"/>
        <v>12.336763156958343</v>
      </c>
      <c r="BH91" s="153">
        <f t="shared" ca="1" si="74"/>
        <v>11.977439958211985</v>
      </c>
      <c r="BI91" s="153">
        <f t="shared" ca="1" si="74"/>
        <v>11.628582483700955</v>
      </c>
      <c r="BJ91" s="153">
        <f t="shared" ca="1" si="74"/>
        <v>11.289885906505782</v>
      </c>
      <c r="BK91" s="153">
        <f t="shared" ca="1" si="74"/>
        <v>64243.503922965647</v>
      </c>
      <c r="BL91" s="154">
        <f ca="1">SUM(C91:BK91)</f>
        <v>890982.62765991734</v>
      </c>
    </row>
    <row r="92" spans="2:64">
      <c r="B92" t="s">
        <v>827</v>
      </c>
      <c r="C92" s="153">
        <f t="shared" ref="C92:C94" si="75">IF(C42&gt;0,C42*C$73,0)</f>
        <v>1443507.3652676821</v>
      </c>
      <c r="D92" s="153">
        <f t="shared" ref="D92:BK92" ca="1" si="76">IF(D42&gt;0,D42*D$73,0)</f>
        <v>2425.4888168905522</v>
      </c>
      <c r="E92" s="153">
        <f t="shared" ca="1" si="76"/>
        <v>2044.0402773289975</v>
      </c>
      <c r="F92" s="153">
        <f t="shared" ca="1" si="76"/>
        <v>1848.0725053601518</v>
      </c>
      <c r="G92" s="153">
        <f t="shared" ca="1" si="76"/>
        <v>1698.688536264573</v>
      </c>
      <c r="H92" s="153">
        <f t="shared" ca="1" si="76"/>
        <v>1671.4376428631613</v>
      </c>
      <c r="I92" s="153">
        <f t="shared" ca="1" si="76"/>
        <v>1397.7281801675051</v>
      </c>
      <c r="J92" s="153">
        <f t="shared" ca="1" si="76"/>
        <v>1188.4815634143115</v>
      </c>
      <c r="K92" s="153">
        <f t="shared" ca="1" si="76"/>
        <v>973.6147798593073</v>
      </c>
      <c r="L92" s="153">
        <f t="shared" ca="1" si="76"/>
        <v>739.51303093054798</v>
      </c>
      <c r="M92" s="153">
        <f t="shared" ca="1" si="76"/>
        <v>663.32246108898346</v>
      </c>
      <c r="N92" s="153">
        <f t="shared" ca="1" si="76"/>
        <v>578.89737456126556</v>
      </c>
      <c r="O92" s="153">
        <f t="shared" ca="1" si="76"/>
        <v>531.5537875256515</v>
      </c>
      <c r="P92" s="153">
        <f t="shared" ca="1" si="76"/>
        <v>490.8130447951151</v>
      </c>
      <c r="Q92" s="153">
        <f t="shared" ca="1" si="76"/>
        <v>431.46952045256359</v>
      </c>
      <c r="R92" s="153">
        <f t="shared" ca="1" si="76"/>
        <v>81485.200453057085</v>
      </c>
      <c r="S92" s="153">
        <f t="shared" ca="1" si="76"/>
        <v>237.76181037737672</v>
      </c>
      <c r="T92" s="153">
        <f t="shared" ca="1" si="76"/>
        <v>222.41448835276617</v>
      </c>
      <c r="U92" s="153">
        <f t="shared" ca="1" si="76"/>
        <v>205.43899446727201</v>
      </c>
      <c r="V92" s="153">
        <f t="shared" ca="1" si="76"/>
        <v>129.88968515433578</v>
      </c>
      <c r="W92" s="153">
        <f t="shared" ca="1" si="76"/>
        <v>112.50857018249124</v>
      </c>
      <c r="X92" s="153">
        <f t="shared" ca="1" si="76"/>
        <v>84.339369536626492</v>
      </c>
      <c r="Y92" s="153">
        <f t="shared" ca="1" si="76"/>
        <v>80.514518569243592</v>
      </c>
      <c r="Z92" s="153">
        <f t="shared" ca="1" si="76"/>
        <v>74.388758704528243</v>
      </c>
      <c r="AA92" s="153">
        <f t="shared" ca="1" si="76"/>
        <v>70.716046794868461</v>
      </c>
      <c r="AB92" s="153">
        <f t="shared" ca="1" si="76"/>
        <v>205495.85155136033</v>
      </c>
      <c r="AC92" s="153">
        <f t="shared" ca="1" si="76"/>
        <v>66.01418637062099</v>
      </c>
      <c r="AD92" s="153">
        <f t="shared" ca="1" si="76"/>
        <v>63.781822580310148</v>
      </c>
      <c r="AE92" s="153">
        <f t="shared" ca="1" si="76"/>
        <v>61.624949352956662</v>
      </c>
      <c r="AF92" s="153">
        <f t="shared" ca="1" si="76"/>
        <v>59.541013867590983</v>
      </c>
      <c r="AG92" s="153">
        <f t="shared" ca="1" si="76"/>
        <v>57.527549630522699</v>
      </c>
      <c r="AH92" s="153">
        <f t="shared" ca="1" si="76"/>
        <v>55.851989932546303</v>
      </c>
      <c r="AI92" s="153">
        <f t="shared" ca="1" si="76"/>
        <v>54.225232944219719</v>
      </c>
      <c r="AJ92" s="153">
        <f t="shared" ca="1" si="76"/>
        <v>52.645857227397784</v>
      </c>
      <c r="AK92" s="153">
        <f t="shared" ca="1" si="76"/>
        <v>51.112482745046385</v>
      </c>
      <c r="AL92" s="153">
        <f t="shared" ca="1" si="76"/>
        <v>49.623769655384848</v>
      </c>
      <c r="AM92" s="153">
        <f t="shared" ca="1" si="76"/>
        <v>48.178417141150334</v>
      </c>
      <c r="AN92" s="153">
        <f t="shared" ca="1" si="76"/>
        <v>46.775162272961488</v>
      </c>
      <c r="AO92" s="153">
        <f t="shared" ca="1" si="76"/>
        <v>45.412778905787853</v>
      </c>
      <c r="AP92" s="153">
        <f t="shared" ca="1" si="76"/>
        <v>44.090076607561031</v>
      </c>
      <c r="AQ92" s="153">
        <f t="shared" ca="1" si="76"/>
        <v>42.805899618991283</v>
      </c>
      <c r="AR92" s="153">
        <f t="shared" ca="1" si="76"/>
        <v>41.55912584368086</v>
      </c>
      <c r="AS92" s="153">
        <f t="shared" ca="1" si="76"/>
        <v>40.34866586765132</v>
      </c>
      <c r="AT92" s="153">
        <f t="shared" ca="1" si="76"/>
        <v>39.173462007428469</v>
      </c>
      <c r="AU92" s="153">
        <f t="shared" ca="1" si="76"/>
        <v>38.032487385852882</v>
      </c>
      <c r="AV92" s="153">
        <f t="shared" ca="1" si="76"/>
        <v>36.924745034808623</v>
      </c>
      <c r="AW92" s="153">
        <f t="shared" ca="1" si="76"/>
        <v>35.849267024086039</v>
      </c>
      <c r="AX92" s="153">
        <f t="shared" ca="1" si="76"/>
        <v>34.805113615617515</v>
      </c>
      <c r="AY92" s="153">
        <f t="shared" ca="1" si="76"/>
        <v>33.791372442347097</v>
      </c>
      <c r="AZ92" s="153">
        <f t="shared" ca="1" si="76"/>
        <v>32.8071577110166</v>
      </c>
      <c r="BA92" s="153">
        <f t="shared" ca="1" si="76"/>
        <v>37850.363137189997</v>
      </c>
      <c r="BB92" s="153">
        <f t="shared" ca="1" si="76"/>
        <v>30.923892648710154</v>
      </c>
      <c r="BC92" s="153">
        <f t="shared" ca="1" si="76"/>
        <v>30.023196746320536</v>
      </c>
      <c r="BD92" s="153">
        <f t="shared" ca="1" si="76"/>
        <v>29.148734705165573</v>
      </c>
      <c r="BE92" s="153">
        <f t="shared" ca="1" si="76"/>
        <v>28.299742432199587</v>
      </c>
      <c r="BF92" s="153">
        <f t="shared" ca="1" si="76"/>
        <v>27.475478089514159</v>
      </c>
      <c r="BG92" s="153">
        <f t="shared" ca="1" si="76"/>
        <v>26.675221446130251</v>
      </c>
      <c r="BH92" s="153">
        <f t="shared" ca="1" si="76"/>
        <v>25.898273248670147</v>
      </c>
      <c r="BI92" s="153">
        <f t="shared" ca="1" si="76"/>
        <v>25.143954610359366</v>
      </c>
      <c r="BJ92" s="153">
        <f t="shared" ca="1" si="76"/>
        <v>24.411606417824629</v>
      </c>
      <c r="BK92" s="153">
        <f t="shared" ca="1" si="76"/>
        <v>138910.80438338942</v>
      </c>
      <c r="BL92" s="154">
        <f t="shared" ref="BL92:BL95" ca="1" si="77">SUM(C92:BK92)</f>
        <v>1926531.1812424525</v>
      </c>
    </row>
    <row r="93" spans="2:64">
      <c r="B93" t="s">
        <v>828</v>
      </c>
      <c r="C93" s="153">
        <f t="shared" si="75"/>
        <v>142526.39862437619</v>
      </c>
      <c r="D93" s="153">
        <f t="shared" ref="D93:BK93" ca="1" si="78">IF(D43&gt;0,D43*D$73,0)</f>
        <v>161.22312514161499</v>
      </c>
      <c r="E93" s="153">
        <f t="shared" ca="1" si="78"/>
        <v>135.86810177454834</v>
      </c>
      <c r="F93" s="153">
        <f t="shared" ca="1" si="78"/>
        <v>122.84205259063144</v>
      </c>
      <c r="G93" s="153">
        <f t="shared" ca="1" si="78"/>
        <v>112.9124457518239</v>
      </c>
      <c r="H93" s="153">
        <f t="shared" ca="1" si="78"/>
        <v>111.10106894130988</v>
      </c>
      <c r="I93" s="153">
        <f t="shared" ca="1" si="78"/>
        <v>92.907501257416001</v>
      </c>
      <c r="J93" s="153">
        <f t="shared" ca="1" si="78"/>
        <v>78.998802423871979</v>
      </c>
      <c r="K93" s="153">
        <f t="shared" ca="1" si="78"/>
        <v>64.716529055869103</v>
      </c>
      <c r="L93" s="153">
        <f t="shared" ca="1" si="78"/>
        <v>49.155700533147701</v>
      </c>
      <c r="M93" s="153">
        <f t="shared" ca="1" si="78"/>
        <v>44.091285603407883</v>
      </c>
      <c r="N93" s="153">
        <f t="shared" ca="1" si="78"/>
        <v>38.479519350121485</v>
      </c>
      <c r="O93" s="153">
        <f t="shared" ca="1" si="78"/>
        <v>35.332573874989997</v>
      </c>
      <c r="P93" s="153">
        <f t="shared" ca="1" si="78"/>
        <v>32.624521865899247</v>
      </c>
      <c r="Q93" s="153">
        <f t="shared" ca="1" si="78"/>
        <v>28.679936187005396</v>
      </c>
      <c r="R93" s="153">
        <f t="shared" ca="1" si="78"/>
        <v>8036.6916881139423</v>
      </c>
      <c r="S93" s="153">
        <f t="shared" ca="1" si="78"/>
        <v>15.804114140386268</v>
      </c>
      <c r="T93" s="153">
        <f t="shared" ca="1" si="78"/>
        <v>14.783972055157227</v>
      </c>
      <c r="U93" s="153">
        <f t="shared" ca="1" si="78"/>
        <v>13.655604793274593</v>
      </c>
      <c r="V93" s="153">
        <f t="shared" ca="1" si="78"/>
        <v>8.6338146844514601</v>
      </c>
      <c r="W93" s="153">
        <f t="shared" ca="1" si="78"/>
        <v>7.4784856412118685</v>
      </c>
      <c r="X93" s="153">
        <f t="shared" ca="1" si="78"/>
        <v>5.6060686136661806</v>
      </c>
      <c r="Y93" s="153">
        <f t="shared" ca="1" si="78"/>
        <v>5.3518293766644849</v>
      </c>
      <c r="Z93" s="153">
        <f t="shared" ca="1" si="78"/>
        <v>4.9446478871523647</v>
      </c>
      <c r="AA93" s="153">
        <f t="shared" ca="1" si="78"/>
        <v>4.7005213887340878</v>
      </c>
      <c r="AB93" s="153">
        <f t="shared" ca="1" si="78"/>
        <v>20287.670206810621</v>
      </c>
      <c r="AC93" s="153">
        <f t="shared" ca="1" si="78"/>
        <v>4.3879870136844161</v>
      </c>
      <c r="AD93" s="153">
        <f t="shared" ca="1" si="78"/>
        <v>4.2396009794052345</v>
      </c>
      <c r="AE93" s="153">
        <f t="shared" ca="1" si="78"/>
        <v>4.0962328303432205</v>
      </c>
      <c r="AF93" s="153">
        <f t="shared" ca="1" si="78"/>
        <v>3.957712879558668</v>
      </c>
      <c r="AG93" s="153">
        <f t="shared" ca="1" si="78"/>
        <v>3.823877178317554</v>
      </c>
      <c r="AH93" s="153">
        <f t="shared" ca="1" si="78"/>
        <v>3.7125021148714117</v>
      </c>
      <c r="AI93" s="153">
        <f t="shared" ca="1" si="78"/>
        <v>3.6043709853120505</v>
      </c>
      <c r="AJ93" s="153">
        <f t="shared" ca="1" si="78"/>
        <v>3.499389306128204</v>
      </c>
      <c r="AK93" s="153">
        <f t="shared" ca="1" si="78"/>
        <v>3.3974653457555379</v>
      </c>
      <c r="AL93" s="153">
        <f t="shared" ca="1" si="78"/>
        <v>3.2985100444228523</v>
      </c>
      <c r="AM93" s="153">
        <f t="shared" ca="1" si="78"/>
        <v>3.202436936332866</v>
      </c>
      <c r="AN93" s="153">
        <f t="shared" ca="1" si="78"/>
        <v>3.1091620741095785</v>
      </c>
      <c r="AO93" s="153">
        <f t="shared" ca="1" si="78"/>
        <v>3.018603955446193</v>
      </c>
      <c r="AP93" s="153">
        <f t="shared" ca="1" si="78"/>
        <v>2.9306834518895082</v>
      </c>
      <c r="AQ93" s="153">
        <f t="shared" ca="1" si="78"/>
        <v>2.8453237396985513</v>
      </c>
      <c r="AR93" s="153">
        <f t="shared" ca="1" si="78"/>
        <v>2.7624502327170402</v>
      </c>
      <c r="AS93" s="153">
        <f t="shared" ca="1" si="78"/>
        <v>2.6819905172010103</v>
      </c>
      <c r="AT93" s="153">
        <f t="shared" ca="1" si="78"/>
        <v>2.6038742885446702</v>
      </c>
      <c r="AU93" s="153">
        <f t="shared" ca="1" si="78"/>
        <v>2.5280332898491942</v>
      </c>
      <c r="AV93" s="153">
        <f t="shared" ca="1" si="78"/>
        <v>2.4544012522807712</v>
      </c>
      <c r="AW93" s="153">
        <f t="shared" ca="1" si="78"/>
        <v>2.382913837165797</v>
      </c>
      <c r="AX93" s="153">
        <f t="shared" ca="1" si="78"/>
        <v>2.3135085797726185</v>
      </c>
      <c r="AY93" s="153">
        <f t="shared" ca="1" si="78"/>
        <v>2.2461248347306975</v>
      </c>
      <c r="AZ93" s="153">
        <f t="shared" ca="1" si="78"/>
        <v>2.1807037230395121</v>
      </c>
      <c r="BA93" s="153">
        <f t="shared" ca="1" si="78"/>
        <v>3736.172433712713</v>
      </c>
      <c r="BB93" s="153">
        <f t="shared" ca="1" si="78"/>
        <v>2.0555224083697921</v>
      </c>
      <c r="BC93" s="153">
        <f t="shared" ca="1" si="78"/>
        <v>1.995652823659992</v>
      </c>
      <c r="BD93" s="153">
        <f t="shared" ca="1" si="78"/>
        <v>1.9375270132621283</v>
      </c>
      <c r="BE93" s="153">
        <f t="shared" ca="1" si="78"/>
        <v>1.8810941876331342</v>
      </c>
      <c r="BF93" s="153">
        <f t="shared" ca="1" si="78"/>
        <v>1.8263050365370235</v>
      </c>
      <c r="BG93" s="153">
        <f t="shared" ca="1" si="78"/>
        <v>1.7731116859582752</v>
      </c>
      <c r="BH93" s="153">
        <f t="shared" ca="1" si="78"/>
        <v>1.7214676562701703</v>
      </c>
      <c r="BI93" s="153">
        <f t="shared" ca="1" si="78"/>
        <v>1.6713278216215244</v>
      </c>
      <c r="BJ93" s="153">
        <f t="shared" ca="1" si="78"/>
        <v>1.6226483705063344</v>
      </c>
      <c r="BK93" s="153">
        <f t="shared" ca="1" si="78"/>
        <v>13714.757041056015</v>
      </c>
      <c r="BL93" s="154">
        <f t="shared" ca="1" si="77"/>
        <v>189583.34473339625</v>
      </c>
    </row>
    <row r="94" spans="2:64">
      <c r="B94" t="s">
        <v>829</v>
      </c>
      <c r="C94" s="153">
        <f t="shared" si="75"/>
        <v>199822.01087137539</v>
      </c>
      <c r="D94" s="153">
        <f t="shared" ref="D94:BK94" ca="1" si="79">IF(D44&gt;0,D44*D$73,0)</f>
        <v>292.68057175431636</v>
      </c>
      <c r="E94" s="153">
        <f t="shared" ca="1" si="79"/>
        <v>246.65167404253501</v>
      </c>
      <c r="F94" s="153">
        <f t="shared" ca="1" si="79"/>
        <v>223.00449861717439</v>
      </c>
      <c r="G94" s="153">
        <f t="shared" ca="1" si="79"/>
        <v>204.97852992115133</v>
      </c>
      <c r="H94" s="153">
        <f t="shared" ca="1" si="79"/>
        <v>201.69020016015656</v>
      </c>
      <c r="I94" s="153">
        <f t="shared" ca="1" si="79"/>
        <v>168.66203632016382</v>
      </c>
      <c r="J94" s="153">
        <f t="shared" ca="1" si="79"/>
        <v>143.41252001544916</v>
      </c>
      <c r="K94" s="153">
        <f t="shared" ca="1" si="79"/>
        <v>117.48482551364135</v>
      </c>
      <c r="L94" s="153">
        <f t="shared" ca="1" si="79"/>
        <v>89.23607283005127</v>
      </c>
      <c r="M94" s="153">
        <f t="shared" ca="1" si="79"/>
        <v>80.042256149377423</v>
      </c>
      <c r="N94" s="153">
        <f t="shared" ca="1" si="79"/>
        <v>69.85479108119479</v>
      </c>
      <c r="O94" s="153">
        <f t="shared" ca="1" si="79"/>
        <v>64.141902188040575</v>
      </c>
      <c r="P94" s="153">
        <f t="shared" ca="1" si="79"/>
        <v>59.225769904505519</v>
      </c>
      <c r="Q94" s="153">
        <f t="shared" ca="1" si="79"/>
        <v>52.064864229104124</v>
      </c>
      <c r="R94" s="153">
        <f t="shared" ca="1" si="79"/>
        <v>11274.974470673244</v>
      </c>
      <c r="S94" s="153">
        <f t="shared" ca="1" si="79"/>
        <v>28.69040752445245</v>
      </c>
      <c r="T94" s="153">
        <f t="shared" ca="1" si="79"/>
        <v>26.838466194613979</v>
      </c>
      <c r="U94" s="153">
        <f t="shared" ca="1" si="79"/>
        <v>24.790055490091433</v>
      </c>
      <c r="V94" s="153">
        <f t="shared" ca="1" si="79"/>
        <v>15.673618880954248</v>
      </c>
      <c r="W94" s="153">
        <f t="shared" ca="1" si="79"/>
        <v>13.576262409029304</v>
      </c>
      <c r="X94" s="153">
        <f t="shared" ca="1" si="79"/>
        <v>10.177121710675888</v>
      </c>
      <c r="Y94" s="153">
        <f t="shared" ca="1" si="79"/>
        <v>9.7155819335336417</v>
      </c>
      <c r="Z94" s="153">
        <f t="shared" ca="1" si="79"/>
        <v>8.9763944810295317</v>
      </c>
      <c r="AA94" s="153">
        <f t="shared" ca="1" si="79"/>
        <v>8.5332131255342887</v>
      </c>
      <c r="AB94" s="153">
        <f t="shared" ca="1" si="79"/>
        <v>28445.191003995369</v>
      </c>
      <c r="AC94" s="153">
        <f t="shared" ca="1" si="79"/>
        <v>7.9658457611932976</v>
      </c>
      <c r="AD94" s="153">
        <f t="shared" ca="1" si="79"/>
        <v>7.6964693344862791</v>
      </c>
      <c r="AE94" s="153">
        <f t="shared" ca="1" si="79"/>
        <v>7.4362022555422982</v>
      </c>
      <c r="AF94" s="153">
        <f t="shared" ca="1" si="79"/>
        <v>7.1847364787848296</v>
      </c>
      <c r="AG94" s="153">
        <f t="shared" ca="1" si="79"/>
        <v>6.9417743756375172</v>
      </c>
      <c r="AH94" s="153">
        <f t="shared" ca="1" si="79"/>
        <v>6.7395867724636087</v>
      </c>
      <c r="AI94" s="153">
        <f t="shared" ca="1" si="79"/>
        <v>6.5432881286054458</v>
      </c>
      <c r="AJ94" s="153">
        <f t="shared" ca="1" si="79"/>
        <v>6.3527069209761615</v>
      </c>
      <c r="AK94" s="153">
        <f t="shared" ca="1" si="79"/>
        <v>6.1676766223069519</v>
      </c>
      <c r="AL94" s="153">
        <f t="shared" ca="1" si="79"/>
        <v>5.9880355556378175</v>
      </c>
      <c r="AM94" s="153">
        <f t="shared" ca="1" si="79"/>
        <v>5.8136267530464245</v>
      </c>
      <c r="AN94" s="153">
        <f t="shared" ca="1" si="79"/>
        <v>5.6442978184916743</v>
      </c>
      <c r="AO94" s="153">
        <f t="shared" ca="1" si="79"/>
        <v>5.479900794652111</v>
      </c>
      <c r="AP94" s="153">
        <f t="shared" ca="1" si="79"/>
        <v>5.3202920336428274</v>
      </c>
      <c r="AQ94" s="153">
        <f t="shared" ca="1" si="79"/>
        <v>5.1653320714978896</v>
      </c>
      <c r="AR94" s="153">
        <f t="shared" ca="1" si="79"/>
        <v>5.0148855063086311</v>
      </c>
      <c r="AS94" s="153">
        <f t="shared" ca="1" si="79"/>
        <v>4.8688208799112926</v>
      </c>
      <c r="AT94" s="153">
        <f t="shared" ca="1" si="79"/>
        <v>4.7270105630206727</v>
      </c>
      <c r="AU94" s="153">
        <f t="shared" ca="1" si="79"/>
        <v>4.5893306437093901</v>
      </c>
      <c r="AV94" s="153">
        <f t="shared" ca="1" si="79"/>
        <v>4.4556608191353311</v>
      </c>
      <c r="AW94" s="153">
        <f t="shared" ca="1" si="79"/>
        <v>4.3258842904226507</v>
      </c>
      <c r="AX94" s="153">
        <f t="shared" ca="1" si="79"/>
        <v>4.1998876606045155</v>
      </c>
      <c r="AY94" s="153">
        <f t="shared" ca="1" si="79"/>
        <v>4.0775608355383639</v>
      </c>
      <c r="AZ94" s="153">
        <f t="shared" ca="1" si="79"/>
        <v>3.9587969277071502</v>
      </c>
      <c r="BA94" s="153">
        <f t="shared" ca="1" si="79"/>
        <v>5238.9889465390143</v>
      </c>
      <c r="BB94" s="153">
        <f t="shared" ca="1" si="79"/>
        <v>3.731545789148035</v>
      </c>
      <c r="BC94" s="153">
        <f t="shared" ca="1" si="79"/>
        <v>3.6228599894641111</v>
      </c>
      <c r="BD94" s="153">
        <f t="shared" ca="1" si="79"/>
        <v>3.5173397955962247</v>
      </c>
      <c r="BE94" s="153">
        <f t="shared" ca="1" si="79"/>
        <v>3.4148930054332278</v>
      </c>
      <c r="BF94" s="153">
        <f t="shared" ca="1" si="79"/>
        <v>3.3154301023623569</v>
      </c>
      <c r="BG94" s="153">
        <f t="shared" ca="1" si="79"/>
        <v>3.2188641770508322</v>
      </c>
      <c r="BH94" s="153">
        <f t="shared" ca="1" si="79"/>
        <v>3.1251108515056623</v>
      </c>
      <c r="BI94" s="153">
        <f t="shared" ca="1" si="79"/>
        <v>3.0340882053453031</v>
      </c>
      <c r="BJ94" s="153">
        <f t="shared" ca="1" si="79"/>
        <v>2.9457167042187411</v>
      </c>
      <c r="BK94" s="153">
        <f t="shared" ca="1" si="79"/>
        <v>19228.74059844283</v>
      </c>
      <c r="BL94" s="154">
        <f t="shared" ca="1" si="77"/>
        <v>266336.59098392597</v>
      </c>
    </row>
    <row r="95" spans="2:64">
      <c r="B95" t="s">
        <v>830</v>
      </c>
      <c r="C95" s="178">
        <f>SUM(C91:C94)</f>
        <v>2453449.4259200119</v>
      </c>
      <c r="D95" s="178">
        <f t="shared" ref="D95:BK95" ca="1" si="80">SUM(D91:D94)</f>
        <v>4001.1331948997686</v>
      </c>
      <c r="E95" s="178">
        <f t="shared" ca="1" si="80"/>
        <v>3371.8883172662454</v>
      </c>
      <c r="F95" s="178">
        <f t="shared" ca="1" si="80"/>
        <v>3048.6160959742519</v>
      </c>
      <c r="G95" s="178">
        <f t="shared" ca="1" si="80"/>
        <v>2802.1894155575378</v>
      </c>
      <c r="H95" s="178">
        <f t="shared" ca="1" si="80"/>
        <v>2757.235815516271</v>
      </c>
      <c r="I95" s="178">
        <f t="shared" ca="1" si="80"/>
        <v>2305.7193998051748</v>
      </c>
      <c r="J95" s="178">
        <f t="shared" ca="1" si="80"/>
        <v>1960.5421397075656</v>
      </c>
      <c r="K95" s="178">
        <f t="shared" ca="1" si="80"/>
        <v>1606.0937439135134</v>
      </c>
      <c r="L95" s="178">
        <f t="shared" ca="1" si="80"/>
        <v>1219.9149777612317</v>
      </c>
      <c r="M95" s="178">
        <f t="shared" ca="1" si="80"/>
        <v>1094.229542310647</v>
      </c>
      <c r="N95" s="178">
        <f t="shared" ca="1" si="80"/>
        <v>954.9602891044467</v>
      </c>
      <c r="O95" s="178">
        <f t="shared" ca="1" si="80"/>
        <v>876.86139360153277</v>
      </c>
      <c r="P95" s="178">
        <f t="shared" ca="1" si="80"/>
        <v>809.65467758253408</v>
      </c>
      <c r="Q95" s="178">
        <f t="shared" ca="1" si="80"/>
        <v>711.76045374780108</v>
      </c>
      <c r="R95" s="178">
        <f t="shared" ca="1" si="80"/>
        <v>138482.16271394925</v>
      </c>
      <c r="S95" s="178">
        <f t="shared" ca="1" si="80"/>
        <v>392.21647420331658</v>
      </c>
      <c r="T95" s="178">
        <f t="shared" ca="1" si="80"/>
        <v>366.89923539443674</v>
      </c>
      <c r="U95" s="178">
        <f t="shared" ca="1" si="80"/>
        <v>338.89613283956993</v>
      </c>
      <c r="V95" s="178">
        <f t="shared" ca="1" si="80"/>
        <v>214.26853314143472</v>
      </c>
      <c r="W95" s="178">
        <f t="shared" ca="1" si="80"/>
        <v>185.59631020891618</v>
      </c>
      <c r="X95" s="178">
        <f t="shared" ca="1" si="80"/>
        <v>139.12785280227567</v>
      </c>
      <c r="Y95" s="178">
        <f t="shared" ca="1" si="80"/>
        <v>132.81830477856661</v>
      </c>
      <c r="Z95" s="178">
        <f t="shared" ca="1" si="80"/>
        <v>122.71313300122617</v>
      </c>
      <c r="AA95" s="178">
        <f t="shared" ca="1" si="80"/>
        <v>116.6545565053418</v>
      </c>
      <c r="AB95" s="178">
        <f t="shared" ca="1" si="80"/>
        <v>349266.48612971883</v>
      </c>
      <c r="AC95" s="178">
        <f t="shared" ca="1" si="80"/>
        <v>108.89827674423375</v>
      </c>
      <c r="AD95" s="178">
        <f t="shared" ca="1" si="80"/>
        <v>105.2157263229312</v>
      </c>
      <c r="AE95" s="178">
        <f t="shared" ca="1" si="80"/>
        <v>101.65770659220405</v>
      </c>
      <c r="AF95" s="178">
        <f t="shared" ca="1" si="80"/>
        <v>98.22000636927929</v>
      </c>
      <c r="AG95" s="178">
        <f t="shared" ca="1" si="80"/>
        <v>94.898556878530741</v>
      </c>
      <c r="AH95" s="178">
        <f t="shared" ca="1" si="80"/>
        <v>92.134521241291949</v>
      </c>
      <c r="AI95" s="178">
        <f t="shared" ca="1" si="80"/>
        <v>89.450991496399951</v>
      </c>
      <c r="AJ95" s="178">
        <f t="shared" ca="1" si="80"/>
        <v>86.845622812038812</v>
      </c>
      <c r="AK95" s="178">
        <f t="shared" ca="1" si="80"/>
        <v>84.316138652464844</v>
      </c>
      <c r="AL95" s="178">
        <f t="shared" ca="1" si="80"/>
        <v>81.860328788800842</v>
      </c>
      <c r="AM95" s="178">
        <f t="shared" ca="1" si="80"/>
        <v>79.476047367767777</v>
      </c>
      <c r="AN95" s="178">
        <f t="shared" ca="1" si="80"/>
        <v>77.161211036667765</v>
      </c>
      <c r="AO95" s="178">
        <f t="shared" ca="1" si="80"/>
        <v>74.913797122978409</v>
      </c>
      <c r="AP95" s="178">
        <f t="shared" ca="1" si="80"/>
        <v>72.731841866969347</v>
      </c>
      <c r="AQ95" s="178">
        <f t="shared" ca="1" si="80"/>
        <v>70.61343870579546</v>
      </c>
      <c r="AR95" s="178">
        <f t="shared" ca="1" si="80"/>
        <v>68.556736607568411</v>
      </c>
      <c r="AS95" s="178">
        <f t="shared" ca="1" si="80"/>
        <v>66.559938453949911</v>
      </c>
      <c r="AT95" s="178">
        <f t="shared" ca="1" si="80"/>
        <v>64.621299469854293</v>
      </c>
      <c r="AU95" s="178">
        <f t="shared" ca="1" si="80"/>
        <v>62.739125698887662</v>
      </c>
      <c r="AV95" s="178">
        <f t="shared" ca="1" si="80"/>
        <v>60.911772523191914</v>
      </c>
      <c r="AW95" s="178">
        <f t="shared" ca="1" si="80"/>
        <v>59.137643226399895</v>
      </c>
      <c r="AX95" s="178">
        <f t="shared" ca="1" si="80"/>
        <v>57.415187598446508</v>
      </c>
      <c r="AY95" s="178">
        <f t="shared" ca="1" si="80"/>
        <v>55.742900581016023</v>
      </c>
      <c r="AZ95" s="178">
        <f t="shared" ca="1" si="80"/>
        <v>54.119320952442742</v>
      </c>
      <c r="BA95" s="178">
        <f t="shared" ca="1" si="80"/>
        <v>64330.570028361748</v>
      </c>
      <c r="BB95" s="178">
        <f t="shared" ca="1" si="80"/>
        <v>51.012650534869209</v>
      </c>
      <c r="BC95" s="178">
        <f t="shared" ca="1" si="80"/>
        <v>49.526845179484667</v>
      </c>
      <c r="BD95" s="178">
        <f t="shared" ca="1" si="80"/>
        <v>48.08431570823754</v>
      </c>
      <c r="BE95" s="178">
        <f t="shared" ca="1" si="80"/>
        <v>46.683801658483056</v>
      </c>
      <c r="BF95" s="178">
        <f t="shared" ca="1" si="80"/>
        <v>45.324079280080632</v>
      </c>
      <c r="BG95" s="178">
        <f t="shared" ca="1" si="80"/>
        <v>44.003960466097702</v>
      </c>
      <c r="BH95" s="178">
        <f t="shared" ca="1" si="80"/>
        <v>42.722291714657963</v>
      </c>
      <c r="BI95" s="178">
        <f t="shared" ca="1" si="80"/>
        <v>41.477953121027149</v>
      </c>
      <c r="BJ95" s="178">
        <f t="shared" ca="1" si="80"/>
        <v>40.269857399055482</v>
      </c>
      <c r="BK95" s="178">
        <f t="shared" ca="1" si="80"/>
        <v>236097.80594585391</v>
      </c>
      <c r="BL95" s="154">
        <f t="shared" ca="1" si="77"/>
        <v>3273433.7446196903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M43"/>
  <sheetViews>
    <sheetView showGridLines="0" showRowColHeaders="0" topLeftCell="I29" zoomScale="80" zoomScaleNormal="80" workbookViewId="0">
      <selection activeCell="N52" sqref="N52"/>
    </sheetView>
  </sheetViews>
  <sheetFormatPr defaultColWidth="9.21875" defaultRowHeight="14.4"/>
  <cols>
    <col min="1" max="1" width="9.21875" style="118"/>
    <col min="2" max="2" width="26.77734375" style="118" customWidth="1"/>
    <col min="3" max="3" width="21.44140625" style="179" customWidth="1"/>
    <col min="4" max="4" width="21.21875" style="179" customWidth="1"/>
    <col min="5" max="8" width="19.44140625" style="179" customWidth="1"/>
    <col min="9" max="10" width="14.77734375" style="118" customWidth="1"/>
    <col min="11" max="11" width="28.21875" style="179" customWidth="1"/>
    <col min="12" max="12" width="9.21875" style="179"/>
    <col min="13" max="13" width="21.21875" style="179" customWidth="1"/>
    <col min="14" max="16" width="12.44140625" style="118" customWidth="1"/>
    <col min="17" max="16384" width="9.21875" style="118"/>
  </cols>
  <sheetData>
    <row r="1" spans="2:13" ht="15" thickBot="1"/>
    <row r="2" spans="2:13" ht="15" thickBot="1">
      <c r="B2" s="120" t="s">
        <v>463</v>
      </c>
      <c r="E2" s="198" t="s">
        <v>898</v>
      </c>
      <c r="F2" s="198" t="s">
        <v>871</v>
      </c>
    </row>
    <row r="3" spans="2:13">
      <c r="B3" s="212" t="s">
        <v>899</v>
      </c>
    </row>
    <row r="4" spans="2:13">
      <c r="B4" s="215" t="str">
        <f>IF(OR(Detached!C147="Not Possible",Attached!C147="Not Possible",'1BedFlat'!C147="Not Possible",'2BedFlat'!C147="Not Possible"),"Warning! There are instances where it is not possible to meet the target performance","")</f>
        <v/>
      </c>
      <c r="H4" s="216" t="s">
        <v>900</v>
      </c>
      <c r="M4" s="216" t="s">
        <v>900</v>
      </c>
    </row>
    <row r="5" spans="2:13">
      <c r="B5" s="120" t="s">
        <v>847</v>
      </c>
    </row>
    <row r="6" spans="2:13">
      <c r="B6" s="191" t="s">
        <v>294</v>
      </c>
      <c r="C6" s="192" t="s">
        <v>17</v>
      </c>
      <c r="D6" s="192" t="s">
        <v>495</v>
      </c>
      <c r="E6" s="192" t="s">
        <v>497</v>
      </c>
      <c r="F6" s="192" t="s">
        <v>496</v>
      </c>
    </row>
    <row r="7" spans="2:13">
      <c r="B7" s="183" t="s">
        <v>857</v>
      </c>
      <c r="C7" s="188">
        <f>Embodied!C23</f>
        <v>200</v>
      </c>
      <c r="D7" s="188">
        <f>Embodied!C24</f>
        <v>600</v>
      </c>
      <c r="E7" s="188">
        <f>Embodied!C25</f>
        <v>100</v>
      </c>
      <c r="F7" s="188">
        <f>Embodied!C26</f>
        <v>100</v>
      </c>
    </row>
    <row r="8" spans="2:13" s="150" customFormat="1">
      <c r="B8" s="152" t="s">
        <v>856</v>
      </c>
      <c r="C8" s="195" t="str" cm="1">
        <f t="array" aca="1" ref="C8" ca="1">IF(Detached!$C$147="Not Possible","Not Possible",INDIRECT("Detached!"&amp;ADDRESS(3,Detached!$C$123)))</f>
        <v xml:space="preserve">Notional Building C&amp;B </v>
      </c>
      <c r="D8" s="195" t="str" cm="1">
        <f t="array" aca="1" ref="D8" ca="1">IF(Attached!$C$147="Not Possible","Not Possible",INDIRECT("Attached!"&amp;ADDRESS(3,Attached!$C$123)))</f>
        <v xml:space="preserve">Notional Building C&amp;B </v>
      </c>
      <c r="E8" s="195" t="str" cm="1">
        <f t="array" aca="1" ref="E8" ca="1">IF('1BedFlat'!$C$147="Not Possible","Not Possible",INDIRECT("1BedFlat!"&amp;ADDRESS(3,'1BedFlat'!$C$123)))</f>
        <v>35 kWh/m2.year</v>
      </c>
      <c r="F8" s="195" t="str" cm="1">
        <f t="array" aca="1" ref="F8" ca="1">IF('2BedFlat'!$C$147="Not Possible","Not Possible",INDIRECT("2BedFlat!"&amp;ADDRESS(3,'2BedFlat'!$C$123)))</f>
        <v>35 kWh/m2.year</v>
      </c>
      <c r="G8" s="180"/>
      <c r="H8" s="180"/>
      <c r="K8" s="180"/>
      <c r="L8" s="180"/>
      <c r="M8" s="180"/>
    </row>
    <row r="9" spans="2:13">
      <c r="B9" s="185" t="s">
        <v>689</v>
      </c>
      <c r="C9" s="184" t="str" cm="1">
        <f t="array" aca="1" ref="C9" ca="1">IF(Detached!$C$147="Not Possible","Not Possible",INDIRECT("Detached!"&amp;ADDRESS(4,Detached!$C$123)))</f>
        <v>ASHP</v>
      </c>
      <c r="D9" s="184" t="str" cm="1">
        <f t="array" aca="1" ref="D9" ca="1">IF(Attached!$C$147="Not Possible","Not Possible",INDIRECT("Attached!"&amp;ADDRESS(4,Attached!$C$123)))</f>
        <v>ASHP</v>
      </c>
      <c r="E9" s="184" t="str" cm="1">
        <f t="array" aca="1" ref="E9" ca="1">IF('1BedFlat'!$C$147="Not Possible","Not Possible",INDIRECT("1BedFlat!"&amp;ADDRESS(4,'1BedFlat'!$C$123)))</f>
        <v>ASHP</v>
      </c>
      <c r="F9" s="184" t="str" cm="1">
        <f t="array" aca="1" ref="F9" ca="1">IF('2BedFlat'!$C$147="Not Possible","Not Possible",INDIRECT("2BedFlat!"&amp;ADDRESS(4,'2BedFlat'!$C$123)))</f>
        <v>ASHP</v>
      </c>
    </row>
    <row r="10" spans="2:13">
      <c r="B10" s="185" t="s">
        <v>848</v>
      </c>
      <c r="C10" s="184" t="str" cm="1">
        <f t="array" aca="1" ref="C10" ca="1">IF(Detached!$C$147="Not Possible","Not Possible",INDIRECT("Detached!"&amp;ADDRESS(5,Detached!$C$123)))</f>
        <v>Natural Ventilation</v>
      </c>
      <c r="D10" s="184" t="str" cm="1">
        <f t="array" aca="1" ref="D10" ca="1">IF(Attached!$C$147="Not Possible","Not Possible",INDIRECT("Attached!"&amp;ADDRESS(5,Attached!$C$123)))</f>
        <v>Natural Ventilation</v>
      </c>
      <c r="E10" s="184" t="str" cm="1">
        <f t="array" aca="1" ref="E10" ca="1">IF('1BedFlat'!$C$147="Not Possible","Not Possible",INDIRECT("1BedFlat!"&amp;ADDRESS(5,'1BedFlat'!$C$123)))</f>
        <v>Natural Ventilation</v>
      </c>
      <c r="F10" s="184" t="str" cm="1">
        <f t="array" aca="1" ref="F10" ca="1">IF('2BedFlat'!$C$147="Not Possible","Not Possible",INDIRECT("2BedFlat!"&amp;ADDRESS(5,'2BedFlat'!$C$123)))</f>
        <v>Natural Ventilation</v>
      </c>
    </row>
    <row r="11" spans="2:13">
      <c r="B11" s="185" t="s">
        <v>849</v>
      </c>
      <c r="C11" s="184" cm="1">
        <f t="array" aca="1" ref="C11" ca="1">IF(Detached!$C$147="Not Possible","Not Possible",INDIRECT("Detached!"&amp;ADDRESS(6,Detached!$C$123)))</f>
        <v>0.18</v>
      </c>
      <c r="D11" s="184" cm="1">
        <f t="array" aca="1" ref="D11" ca="1">IF(Attached!$C$147="Not Possible","Not Possible",INDIRECT("Attached!"&amp;ADDRESS(6,Attached!$C$123)))</f>
        <v>0.18</v>
      </c>
      <c r="E11" s="184" cm="1">
        <f t="array" aca="1" ref="E11" ca="1">IF('1BedFlat'!$C$147="Not Possible","Not Possible",INDIRECT("1BedFlat!"&amp;ADDRESS(6,'1BedFlat'!$C$123)))</f>
        <v>0.18</v>
      </c>
      <c r="F11" s="184" cm="1">
        <f t="array" aca="1" ref="F11" ca="1">IF('2BedFlat'!$C$147="Not Possible","Not Possible",INDIRECT("2BedFlat!"&amp;ADDRESS(6,'2BedFlat'!$C$123)))</f>
        <v>0.18</v>
      </c>
    </row>
    <row r="12" spans="2:13">
      <c r="B12" s="185" t="s">
        <v>850</v>
      </c>
      <c r="C12" s="184" t="str" cm="1">
        <f t="array" aca="1" ref="C12" ca="1">IF(Detached!$C$147="Not Possible","Not Possible",INDIRECT("Detached!"&amp;ADDRESS(7,Detached!$C$123)))</f>
        <v xml:space="preserve">N/A </v>
      </c>
      <c r="D12" s="184" t="str" cm="1">
        <f t="array" aca="1" ref="D12" ca="1">IF(Attached!$C$147="Not Possible","Not Possible",INDIRECT("Attached!"&amp;ADDRESS(7,Attached!$C$123)))</f>
        <v xml:space="preserve">N/A </v>
      </c>
      <c r="E12" s="184" cm="1">
        <f t="array" aca="1" ref="E12" ca="1">IF('1BedFlat'!$C$147="Not Possible","Not Possible",INDIRECT("1BedFlat!"&amp;ADDRESS(7,'1BedFlat'!$C$123)))</f>
        <v>0.21</v>
      </c>
      <c r="F12" s="184" cm="1">
        <f t="array" aca="1" ref="F12" ca="1">IF('2BedFlat'!$C$147="Not Possible","Not Possible",INDIRECT("2BedFlat!"&amp;ADDRESS(7,'2BedFlat'!$C$123)))</f>
        <v>0.21</v>
      </c>
    </row>
    <row r="13" spans="2:13">
      <c r="B13" s="185" t="s">
        <v>851</v>
      </c>
      <c r="C13" s="184" cm="1">
        <f t="array" aca="1" ref="C13" ca="1">IF(Detached!$C$147="Not Possible","Not Possible",INDIRECT("Detached!"&amp;ADDRESS(8,Detached!$C$123)))</f>
        <v>0.13</v>
      </c>
      <c r="D13" s="184" cm="1">
        <f t="array" aca="1" ref="D13" ca="1">IF(Attached!$C$147="Not Possible","Not Possible",INDIRECT("Attached!"&amp;ADDRESS(8,Attached!$C$123)))</f>
        <v>0.13</v>
      </c>
      <c r="E13" s="184" cm="1">
        <f t="array" aca="1" ref="E13" ca="1">IF('1BedFlat'!$C$147="Not Possible","Not Possible",INDIRECT("1BedFlat!"&amp;ADDRESS(8,'1BedFlat'!$C$123)))</f>
        <v>0.15</v>
      </c>
      <c r="F13" s="184" cm="1">
        <f t="array" aca="1" ref="F13" ca="1">IF('2BedFlat'!$C$147="Not Possible","Not Possible",INDIRECT("2BedFlat!"&amp;ADDRESS(8,'2BedFlat'!$C$123)))</f>
        <v>0.15</v>
      </c>
    </row>
    <row r="14" spans="2:13">
      <c r="B14" s="185" t="s">
        <v>852</v>
      </c>
      <c r="C14" s="184" cm="1">
        <f t="array" aca="1" ref="C14" ca="1">IF(Detached!$C$147="Not Possible","Not Possible",INDIRECT("Detached!"&amp;ADDRESS(9,Detached!$C$123)))</f>
        <v>0.13</v>
      </c>
      <c r="D14" s="184" cm="1">
        <f t="array" aca="1" ref="D14" ca="1">IF(Attached!$C$147="Not Possible","Not Possible",INDIRECT("Attached!"&amp;ADDRESS(9,Attached!$C$123)))</f>
        <v>0.13</v>
      </c>
      <c r="E14" s="184" cm="1">
        <f t="array" aca="1" ref="E14" ca="1">IF('1BedFlat'!$C$147="Not Possible","Not Possible",INDIRECT("1BedFlat!"&amp;ADDRESS(9,'1BedFlat'!$C$123)))</f>
        <v>0.11</v>
      </c>
      <c r="F14" s="184" cm="1">
        <f t="array" aca="1" ref="F14" ca="1">IF('2BedFlat'!$C$147="Not Possible","Not Possible",INDIRECT("2BedFlat!"&amp;ADDRESS(9,'2BedFlat'!$C$123)))</f>
        <v>0.11</v>
      </c>
    </row>
    <row r="15" spans="2:13">
      <c r="B15" s="185" t="s">
        <v>853</v>
      </c>
      <c r="C15" s="184" cm="1">
        <f t="array" aca="1" ref="C15" ca="1">IF(Detached!$C$147="Not Possible","Not Possible",INDIRECT("Detached!"&amp;ADDRESS(11,Detached!$C$123)))</f>
        <v>1</v>
      </c>
      <c r="D15" s="184" cm="1">
        <f t="array" aca="1" ref="D15" ca="1">IF(Attached!$C$147="Not Possible","Not Possible",INDIRECT("Attached!"&amp;ADDRESS(11,Attached!$C$123)))</f>
        <v>1</v>
      </c>
      <c r="E15" s="184" cm="1">
        <f t="array" aca="1" ref="E15" ca="1">IF('1BedFlat'!$C$147="Not Possible","Not Possible",INDIRECT("1BedFlat!"&amp;ADDRESS(11,'1BedFlat'!$C$123)))</f>
        <v>1.4</v>
      </c>
      <c r="F15" s="184" cm="1">
        <f t="array" aca="1" ref="F15" ca="1">IF('2BedFlat'!$C$147="Not Possible","Not Possible",INDIRECT("2BedFlat!"&amp;ADDRESS(11,'2BedFlat'!$C$123)))</f>
        <v>1.4</v>
      </c>
    </row>
    <row r="16" spans="2:13">
      <c r="B16" s="185" t="s">
        <v>854</v>
      </c>
      <c r="C16" s="184" cm="1">
        <f t="array" aca="1" ref="C16" ca="1">IF(Detached!$C$147="Not Possible","Not Possible",INDIRECT("Detached!"&amp;ADDRESS(12,Detached!$C$123)))</f>
        <v>1.4</v>
      </c>
      <c r="D16" s="184" cm="1">
        <f t="array" aca="1" ref="D16" ca="1">IF(Attached!$C$147="Not Possible","Not Possible",INDIRECT("Attached!"&amp;ADDRESS(12,Attached!$C$123)))</f>
        <v>1.4</v>
      </c>
      <c r="E16" s="184" cm="1">
        <f t="array" aca="1" ref="E16" ca="1">IF('1BedFlat'!$C$147="Not Possible","Not Possible",INDIRECT("1BedFlat!"&amp;ADDRESS(12,'1BedFlat'!$C$123)))</f>
        <v>1.4</v>
      </c>
      <c r="F16" s="184" cm="1">
        <f t="array" aca="1" ref="F16" ca="1">IF('2BedFlat'!$C$147="Not Possible","Not Possible",INDIRECT("2BedFlat!"&amp;ADDRESS(12,'2BedFlat'!$C$123)))</f>
        <v>1.2</v>
      </c>
    </row>
    <row r="17" spans="2:13">
      <c r="B17" s="185" t="s">
        <v>858</v>
      </c>
      <c r="C17" s="184" cm="1">
        <f t="array" aca="1" ref="C17" ca="1">IF(Detached!$C$147="Not Possible","Not Possible",INDIRECT("Detached!"&amp;ADDRESS(14,Detached!$C$123)))</f>
        <v>5</v>
      </c>
      <c r="D17" s="184" cm="1">
        <f t="array" aca="1" ref="D17" ca="1">IF(Attached!$C$147="Not Possible","Not Possible",INDIRECT("Attached!"&amp;ADDRESS(14,Attached!$C$123)))</f>
        <v>5</v>
      </c>
      <c r="E17" s="184" cm="1">
        <f t="array" aca="1" ref="E17" ca="1">IF('1BedFlat'!$C$147="Not Possible","Not Possible",INDIRECT("1BedFlat!"&amp;ADDRESS(14,'1BedFlat'!$C$123)))</f>
        <v>4</v>
      </c>
      <c r="F17" s="184" cm="1">
        <f t="array" aca="1" ref="F17" ca="1">IF('2BedFlat'!$C$147="Not Possible","Not Possible",INDIRECT("2BedFlat!"&amp;ADDRESS(14,'2BedFlat'!$C$123)))</f>
        <v>5</v>
      </c>
    </row>
    <row r="18" spans="2:13">
      <c r="B18" s="186" t="s">
        <v>855</v>
      </c>
      <c r="C18" s="187">
        <f ca="1">IF(Detached!$C$147="Not Possible","Not Possible",Detached!$C$134)</f>
        <v>1.2324008025052862</v>
      </c>
      <c r="D18" s="187">
        <f ca="1">IF(Attached!$C$147="Not Possible","Not Possible",Attached!$C$134)</f>
        <v>0.90184672528261112</v>
      </c>
      <c r="E18" s="187">
        <f ca="1">IF('1BedFlat'!$C$147="Not Possible","Not Possible",'1BedFlat'!$C$134)</f>
        <v>0.86574281080114757</v>
      </c>
      <c r="F18" s="187">
        <f ca="1">IF('2BedFlat'!$C$147="Not Possible","Not Possible",'2BedFlat'!$C$134)</f>
        <v>1.1462981135995627</v>
      </c>
    </row>
    <row r="20" spans="2:13" s="150" customFormat="1">
      <c r="B20" s="120" t="s">
        <v>834</v>
      </c>
      <c r="C20" s="180"/>
      <c r="D20" s="180"/>
      <c r="E20" s="180"/>
      <c r="F20" s="180"/>
      <c r="G20" s="180"/>
      <c r="H20" s="180"/>
      <c r="K20" s="180"/>
      <c r="L20" s="180"/>
      <c r="M20" s="180"/>
    </row>
    <row r="21" spans="2:13" s="150" customFormat="1">
      <c r="B21" s="181" t="s">
        <v>835</v>
      </c>
      <c r="C21" s="180"/>
      <c r="D21" s="180"/>
      <c r="E21" s="180"/>
      <c r="F21" s="180"/>
      <c r="G21" s="180"/>
      <c r="H21" s="216" t="s">
        <v>900</v>
      </c>
      <c r="K21" s="180"/>
      <c r="L21" s="180"/>
      <c r="M21" s="216" t="s">
        <v>900</v>
      </c>
    </row>
    <row r="22" spans="2:13" s="150" customFormat="1" ht="28.8">
      <c r="B22" s="193" t="s">
        <v>494</v>
      </c>
      <c r="C22" s="194" t="s">
        <v>765</v>
      </c>
      <c r="D22" s="194" t="s">
        <v>767</v>
      </c>
      <c r="E22" s="194" t="s">
        <v>766</v>
      </c>
      <c r="F22" s="194" t="s">
        <v>768</v>
      </c>
      <c r="G22" s="194" t="s">
        <v>769</v>
      </c>
      <c r="J22" s="180"/>
      <c r="K22" s="180"/>
      <c r="L22" s="180"/>
    </row>
    <row r="23" spans="2:13">
      <c r="B23" s="185" t="s">
        <v>17</v>
      </c>
      <c r="C23" s="188">
        <f>Embodied!E23</f>
        <v>19907</v>
      </c>
      <c r="D23" s="188">
        <f>SUM(Embodied!F23:H23)</f>
        <v>3788.7715289982425</v>
      </c>
      <c r="E23" s="188">
        <f>Embodied!I23</f>
        <v>4408.2284710017566</v>
      </c>
      <c r="F23" s="188">
        <f ca="1">IF(Detached!$C$147="Not Possible","Not Possible",Projections!BL25)</f>
        <v>220.36547560888414</v>
      </c>
      <c r="G23" s="188">
        <f ca="1">SUM(C23:F23)</f>
        <v>28324.365475608884</v>
      </c>
      <c r="H23" s="118"/>
      <c r="J23" s="179"/>
      <c r="M23" s="118"/>
    </row>
    <row r="24" spans="2:13">
      <c r="B24" s="185" t="s">
        <v>495</v>
      </c>
      <c r="C24" s="188">
        <f>Embodied!E24</f>
        <v>43044</v>
      </c>
      <c r="D24" s="188">
        <f>SUM(Embodied!F24:H24)</f>
        <v>8192.2882249560644</v>
      </c>
      <c r="E24" s="188">
        <f>Embodied!I24</f>
        <v>9531.7117750439356</v>
      </c>
      <c r="F24" s="188">
        <f ca="1">IF(Attached!$C$147="Not Possible","Not Possible",Projections!BL26)</f>
        <v>476.4862376103282</v>
      </c>
      <c r="G24" s="188">
        <f ca="1">SUM(C24:F24)</f>
        <v>61244.486237610326</v>
      </c>
      <c r="H24" s="118"/>
      <c r="J24" s="179"/>
      <c r="M24" s="118"/>
    </row>
    <row r="25" spans="2:13">
      <c r="B25" s="185" t="s">
        <v>497</v>
      </c>
      <c r="C25" s="188">
        <f>Embodied!E25</f>
        <v>4250</v>
      </c>
      <c r="D25" s="188">
        <f>SUM(Embodied!F25:H25)</f>
        <v>808.87521968365547</v>
      </c>
      <c r="E25" s="188">
        <f>Embodied!I25</f>
        <v>941.1247803163443</v>
      </c>
      <c r="F25" s="188">
        <f ca="1">IF('1BedFlat'!$C$147="Not Possible","Not Possible",Projections!BL27)</f>
        <v>31.672213773795196</v>
      </c>
      <c r="G25" s="188">
        <f ca="1">SUM(C25:F25)</f>
        <v>6031.6722137737952</v>
      </c>
      <c r="H25" s="118"/>
      <c r="J25" s="179"/>
      <c r="M25" s="118"/>
    </row>
    <row r="26" spans="2:13">
      <c r="B26" s="185" t="s">
        <v>496</v>
      </c>
      <c r="C26" s="188">
        <f>Embodied!E26</f>
        <v>5958.4999999999991</v>
      </c>
      <c r="D26" s="188">
        <f>SUM(Embodied!F26:H26)</f>
        <v>1134.0430579964848</v>
      </c>
      <c r="E26" s="188">
        <f>Embodied!I26</f>
        <v>1319.4569420035145</v>
      </c>
      <c r="F26" s="188">
        <f ca="1">IF('2BedFlat'!$C$147="Not Possible","Not Possible",Projections!BL28)</f>
        <v>57.496972769240664</v>
      </c>
      <c r="G26" s="188">
        <f ca="1">SUM(C26:F26)</f>
        <v>8469.4969727692387</v>
      </c>
      <c r="H26" s="118"/>
      <c r="J26" s="179"/>
      <c r="M26" s="118"/>
    </row>
    <row r="27" spans="2:13">
      <c r="B27" s="185" t="s">
        <v>501</v>
      </c>
      <c r="C27" s="188">
        <f>SUM(C23:C26)</f>
        <v>73159.5</v>
      </c>
      <c r="D27" s="188">
        <f>SUM(D23:D26)</f>
        <v>13923.978031634448</v>
      </c>
      <c r="E27" s="188">
        <f>SUM(E23:E26)</f>
        <v>16200.52196836555</v>
      </c>
      <c r="F27" s="188">
        <f ca="1">SUM(F23:F26)</f>
        <v>786.02089976224818</v>
      </c>
      <c r="G27" s="188">
        <f ca="1">SUM(C27:F27)</f>
        <v>104070.02089976224</v>
      </c>
      <c r="H27" s="118"/>
      <c r="J27" s="179"/>
      <c r="M27" s="118"/>
    </row>
    <row r="28" spans="2:13">
      <c r="H28" s="182"/>
      <c r="I28" s="182"/>
      <c r="J28" s="179"/>
      <c r="M28" s="118"/>
    </row>
    <row r="29" spans="2:13">
      <c r="B29" s="181" t="s">
        <v>836</v>
      </c>
      <c r="C29" s="180"/>
      <c r="D29" s="180"/>
      <c r="E29" s="180"/>
      <c r="F29" s="180"/>
      <c r="G29" s="180"/>
      <c r="H29" s="118"/>
      <c r="J29" s="179"/>
      <c r="M29" s="118"/>
    </row>
    <row r="30" spans="2:13" s="150" customFormat="1" ht="28.8">
      <c r="B30" s="193" t="s">
        <v>494</v>
      </c>
      <c r="C30" s="194" t="s">
        <v>765</v>
      </c>
      <c r="D30" s="194" t="s">
        <v>767</v>
      </c>
      <c r="E30" s="194" t="s">
        <v>766</v>
      </c>
      <c r="F30" s="194" t="s">
        <v>768</v>
      </c>
      <c r="G30" s="194" t="s">
        <v>769</v>
      </c>
      <c r="J30" s="180"/>
      <c r="K30" s="180"/>
      <c r="L30" s="180"/>
    </row>
    <row r="31" spans="2:13">
      <c r="B31" s="185" t="s">
        <v>17</v>
      </c>
      <c r="C31" s="189">
        <f t="shared" ref="C31:G35" ca="1" si="0">C23/$G$27</f>
        <v>0.19128467379836453</v>
      </c>
      <c r="D31" s="189">
        <f t="shared" ca="1" si="0"/>
        <v>3.6405984127239645E-2</v>
      </c>
      <c r="E31" s="189">
        <f t="shared" ca="1" si="0"/>
        <v>4.2358293319145743E-2</v>
      </c>
      <c r="F31" s="189">
        <f ca="1">IF(Detached!$C$147="Not Possible","Not Possible",F23/$G$27)</f>
        <v>2.1174731560891576E-3</v>
      </c>
      <c r="G31" s="189">
        <f t="shared" ca="1" si="0"/>
        <v>0.2721664244008391</v>
      </c>
      <c r="H31" s="118"/>
      <c r="J31" s="179"/>
      <c r="M31" s="118"/>
    </row>
    <row r="32" spans="2:13">
      <c r="B32" s="185" t="s">
        <v>495</v>
      </c>
      <c r="C32" s="189">
        <f t="shared" ca="1" si="0"/>
        <v>0.41360614351619046</v>
      </c>
      <c r="D32" s="189">
        <f t="shared" ca="1" si="0"/>
        <v>7.8719002399804269E-2</v>
      </c>
      <c r="E32" s="189">
        <f t="shared" ca="1" si="0"/>
        <v>9.1589409636274141E-2</v>
      </c>
      <c r="F32" s="189">
        <f ca="1">IF(Attached!$C$147="Not Possible","Not Possible",F24/$G$27)</f>
        <v>4.5785158251218988E-3</v>
      </c>
      <c r="G32" s="189">
        <f t="shared" ca="1" si="0"/>
        <v>0.58849307137739071</v>
      </c>
      <c r="H32" s="118"/>
      <c r="J32" s="179"/>
      <c r="M32" s="118"/>
    </row>
    <row r="33" spans="2:13">
      <c r="B33" s="185" t="s">
        <v>497</v>
      </c>
      <c r="C33" s="189">
        <f t="shared" ca="1" si="0"/>
        <v>4.0837889367712328E-2</v>
      </c>
      <c r="D33" s="189">
        <f t="shared" ca="1" si="0"/>
        <v>7.7724133491117947E-3</v>
      </c>
      <c r="E33" s="189">
        <f t="shared" ca="1" si="0"/>
        <v>9.0431881552403386E-3</v>
      </c>
      <c r="F33" s="189">
        <f ca="1">IF('1BedFlat'!$C$147="Not Possible","Not Possible",F25/$G$27)</f>
        <v>3.0433561461759595E-4</v>
      </c>
      <c r="G33" s="189">
        <f t="shared" ca="1" si="0"/>
        <v>5.795782648668206E-2</v>
      </c>
      <c r="H33" s="118"/>
      <c r="J33" s="179"/>
      <c r="M33" s="118"/>
    </row>
    <row r="34" spans="2:13">
      <c r="B34" s="185" t="s">
        <v>496</v>
      </c>
      <c r="C34" s="189">
        <f t="shared" ca="1" si="0"/>
        <v>5.7254720893532673E-2</v>
      </c>
      <c r="D34" s="189">
        <f t="shared" ca="1" si="0"/>
        <v>1.0896923515454734E-2</v>
      </c>
      <c r="E34" s="189">
        <f t="shared" ca="1" si="0"/>
        <v>1.2678549793646953E-2</v>
      </c>
      <c r="F34" s="189">
        <f ca="1">IF('2BedFlat'!$C$147="Not Possible","Not Possible",F26/$G$27)</f>
        <v>5.5248353245379263E-4</v>
      </c>
      <c r="G34" s="189">
        <f t="shared" ca="1" si="0"/>
        <v>8.1382677735088144E-2</v>
      </c>
      <c r="H34" s="118"/>
      <c r="J34" s="179"/>
      <c r="M34" s="118"/>
    </row>
    <row r="35" spans="2:13">
      <c r="B35" s="185" t="s">
        <v>501</v>
      </c>
      <c r="C35" s="189">
        <f t="shared" ca="1" si="0"/>
        <v>0.70298342757580001</v>
      </c>
      <c r="D35" s="189">
        <f t="shared" ca="1" si="0"/>
        <v>0.13379432339161046</v>
      </c>
      <c r="E35" s="189">
        <f t="shared" ca="1" si="0"/>
        <v>0.15566944090430718</v>
      </c>
      <c r="F35" s="189">
        <f t="shared" ca="1" si="0"/>
        <v>7.5528081282824448E-3</v>
      </c>
      <c r="G35" s="189">
        <f t="shared" ca="1" si="0"/>
        <v>1</v>
      </c>
      <c r="H35" s="118"/>
      <c r="J35" s="179"/>
      <c r="M35" s="118"/>
    </row>
    <row r="37" spans="2:13">
      <c r="B37" s="120" t="s">
        <v>837</v>
      </c>
    </row>
    <row r="38" spans="2:13" ht="43.2">
      <c r="B38" s="193" t="s">
        <v>494</v>
      </c>
      <c r="C38" s="194" t="s">
        <v>792</v>
      </c>
      <c r="D38" s="194" t="s">
        <v>793</v>
      </c>
      <c r="E38" s="194" t="s">
        <v>831</v>
      </c>
      <c r="F38" s="194" t="s">
        <v>832</v>
      </c>
      <c r="G38" s="194" t="s">
        <v>833</v>
      </c>
    </row>
    <row r="39" spans="2:13">
      <c r="B39" s="185" t="s">
        <v>17</v>
      </c>
      <c r="C39" s="190">
        <f>Detached!E136</f>
        <v>130055.86452520511</v>
      </c>
      <c r="D39" s="190">
        <f>IF(C7=0,"Not Applicable",C39/C7)</f>
        <v>650.27932262602553</v>
      </c>
      <c r="E39" s="190">
        <f ca="1">IF(Detached!$C$147="Not Possible","Not Possible",SUM(Projections!C77:AF77,Projections!C82:AF82))</f>
        <v>2024566.9805900697</v>
      </c>
      <c r="F39" s="190">
        <f ca="1">IF(Detached!$C$147="Not Possible","Not Possible",SUM(Projections!C77:BK77,Projections!C82:BK82))</f>
        <v>2847719.7631486189</v>
      </c>
      <c r="G39" s="190">
        <f ca="1">IF(Detached!$C$147="Not Possible","Not Possible",Projections!BL91)</f>
        <v>890982.62765991734</v>
      </c>
    </row>
    <row r="40" spans="2:13">
      <c r="B40" s="185" t="s">
        <v>495</v>
      </c>
      <c r="C40" s="190">
        <f>Attached!E136</f>
        <v>281213.87615526473</v>
      </c>
      <c r="D40" s="190">
        <f>IF(D7=0,"Not Applicable",C40/D7)</f>
        <v>468.68979359210789</v>
      </c>
      <c r="E40" s="190">
        <f ca="1">IF(Attached!$C$147="Not Possible","Not Possible",SUM(Projections!C78:AF78,Projections!C83:AF83))</f>
        <v>4389694.4653040925</v>
      </c>
      <c r="F40" s="190">
        <f ca="1">IF(Attached!$C$147="Not Possible","Not Possible",SUM(Projections!C78:BK78,Projections!C83:BK83))</f>
        <v>6174465.8501677271</v>
      </c>
      <c r="G40" s="190">
        <f ca="1">IF(Attached!$C$147="Not Possible","Not Possible",Projections!BL92)</f>
        <v>1926531.1812424525</v>
      </c>
    </row>
    <row r="41" spans="2:13">
      <c r="B41" s="185" t="s">
        <v>497</v>
      </c>
      <c r="C41" s="190">
        <f>'1BedFlat'!E136</f>
        <v>46868.979359211153</v>
      </c>
      <c r="D41" s="190">
        <f>IF(E7=0,"Not Applicable",C41/E7)</f>
        <v>468.68979359211153</v>
      </c>
      <c r="E41" s="190">
        <f ca="1">IF('1BedFlat'!$C$147="Not Possible","Not Possible",SUM(Projections!C79:AF79,Projections!C84:AF84))</f>
        <v>366655.93519175425</v>
      </c>
      <c r="F41" s="190">
        <f ca="1">IF('1BedFlat'!$C$147="Not Possible","Not Possible",SUM(Projections!C79:BK79,Projections!C84:BK84))</f>
        <v>515731.69123650331</v>
      </c>
      <c r="G41" s="190">
        <f ca="1">IF('1BedFlat'!$C$147="Not Possible","Not Possible",Projections!BL93)</f>
        <v>189583.34473339625</v>
      </c>
    </row>
    <row r="42" spans="2:13">
      <c r="B42" s="185" t="s">
        <v>496</v>
      </c>
      <c r="C42" s="190">
        <f>'2BedFlat'!E136</f>
        <v>115977.88681597376</v>
      </c>
      <c r="D42" s="190">
        <f>IF(F7=0,"Not Applicable",C42/F7)</f>
        <v>1159.7788681597376</v>
      </c>
      <c r="E42" s="190">
        <f ca="1">IF('2BedFlat'!$C$147="Not Possible","Not Possible",SUM(Projections!C80:AF80,Projections!C85:AF85))</f>
        <v>602688.71454270126</v>
      </c>
      <c r="F42" s="190">
        <f ca="1">IF('2BedFlat'!$C$147="Not Possible","Not Possible",SUM(Projections!C80:BK80,Projections!C85:BK85))</f>
        <v>847731.18394416664</v>
      </c>
      <c r="G42" s="190">
        <f ca="1">IF('2BedFlat'!$C$147="Not Possible","Not Possible",Projections!BL94)</f>
        <v>266336.59098392597</v>
      </c>
    </row>
    <row r="43" spans="2:13">
      <c r="B43" s="185" t="s">
        <v>501</v>
      </c>
      <c r="C43" s="190">
        <f>SUM(C39:C42)</f>
        <v>574116.60685565474</v>
      </c>
      <c r="D43" s="190">
        <f>C43/SUM(C7:F7)</f>
        <v>574.11660685565471</v>
      </c>
      <c r="E43" s="190">
        <f ca="1">SUM(E39:E42)</f>
        <v>7383606.0956286173</v>
      </c>
      <c r="F43" s="190">
        <f t="shared" ref="F43:G43" ca="1" si="1">SUM(F39:F42)</f>
        <v>10385648.488497015</v>
      </c>
      <c r="G43" s="190">
        <f t="shared" ca="1" si="1"/>
        <v>3273433.7446196917</v>
      </c>
    </row>
  </sheetData>
  <conditionalFormatting sqref="C39:G43">
    <cfRule type="cellIs" dxfId="0" priority="1" operator="lessThan">
      <formula>0</formula>
    </cfRule>
  </conditionalFormatting>
  <hyperlinks>
    <hyperlink ref="F2" location="INPUT!A1" display="Go to OUTPUT"/>
    <hyperlink ref="E2" location="Cover!A1" display="Go to COVER"/>
  </hyperlinks>
  <printOptions horizontalCentered="1"/>
  <pageMargins left="0.70866141732283472" right="0.70866141732283472" top="0.74803149606299213" bottom="0.74803149606299213" header="0.31496062992125984" footer="0.31496062992125984"/>
  <pageSetup paperSize="9" scale="46"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G46"/>
  <sheetViews>
    <sheetView showGridLines="0" showRowColHeaders="0" topLeftCell="A37" zoomScale="80" zoomScaleNormal="80" workbookViewId="0">
      <selection activeCell="N52" sqref="N52"/>
    </sheetView>
  </sheetViews>
  <sheetFormatPr defaultColWidth="9.21875" defaultRowHeight="14.4"/>
  <cols>
    <col min="1" max="1" width="9.21875" style="118"/>
    <col min="2" max="2" width="40.21875" style="118" customWidth="1"/>
    <col min="3" max="3" width="38.77734375" style="118" customWidth="1"/>
    <col min="4" max="4" width="8.5546875" style="118" customWidth="1"/>
    <col min="5" max="5" width="120.77734375" style="199" customWidth="1"/>
    <col min="6" max="16384" width="9.21875" style="118"/>
  </cols>
  <sheetData>
    <row r="1" spans="2:5" ht="15" thickBot="1"/>
    <row r="2" spans="2:5" ht="29.4" thickBot="1">
      <c r="D2" s="200" t="s">
        <v>898</v>
      </c>
    </row>
    <row r="3" spans="2:5" ht="6.75" customHeight="1" thickBot="1"/>
    <row r="4" spans="2:5" ht="29.4" thickBot="1">
      <c r="B4" s="120" t="s">
        <v>335</v>
      </c>
      <c r="D4" s="200" t="s">
        <v>870</v>
      </c>
    </row>
    <row r="5" spans="2:5">
      <c r="B5" s="118" t="s">
        <v>882</v>
      </c>
    </row>
    <row r="7" spans="2:5">
      <c r="B7" s="120" t="s">
        <v>455</v>
      </c>
      <c r="E7" s="201" t="s">
        <v>872</v>
      </c>
    </row>
    <row r="8" spans="2:5">
      <c r="B8" s="118" t="s">
        <v>431</v>
      </c>
      <c r="C8" s="202">
        <v>2026</v>
      </c>
      <c r="E8" s="152" t="s">
        <v>873</v>
      </c>
    </row>
    <row r="9" spans="2:5">
      <c r="B9" s="118" t="s">
        <v>456</v>
      </c>
      <c r="C9" s="202">
        <v>1000</v>
      </c>
      <c r="E9" s="152" t="s">
        <v>874</v>
      </c>
    </row>
    <row r="10" spans="2:5" ht="28.8">
      <c r="B10" s="118" t="s">
        <v>457</v>
      </c>
      <c r="C10" s="204">
        <v>0.2</v>
      </c>
      <c r="E10" s="152" t="s">
        <v>875</v>
      </c>
    </row>
    <row r="11" spans="2:5">
      <c r="B11" s="118" t="s">
        <v>458</v>
      </c>
      <c r="C11" s="204">
        <v>0.6</v>
      </c>
      <c r="E11" s="152" t="s">
        <v>876</v>
      </c>
    </row>
    <row r="12" spans="2:5" ht="28.8">
      <c r="B12" s="118" t="s">
        <v>492</v>
      </c>
      <c r="C12" s="204">
        <v>0.1</v>
      </c>
      <c r="E12" s="152" t="s">
        <v>877</v>
      </c>
    </row>
    <row r="13" spans="2:5" ht="28.8">
      <c r="B13" s="118" t="s">
        <v>493</v>
      </c>
      <c r="C13" s="204">
        <v>0.1</v>
      </c>
      <c r="E13" s="152" t="s">
        <v>878</v>
      </c>
    </row>
    <row r="14" spans="2:5">
      <c r="B14" s="118" t="s">
        <v>692</v>
      </c>
      <c r="C14" s="205" t="str">
        <f>IF(SUM(C10:C13)=1,"OK","Warning! % build mix doesn't sum to 100%")</f>
        <v>OK</v>
      </c>
      <c r="E14" s="213" t="s">
        <v>880</v>
      </c>
    </row>
    <row r="15" spans="2:5">
      <c r="B15" s="118" t="s">
        <v>691</v>
      </c>
      <c r="C15" s="202">
        <v>2</v>
      </c>
      <c r="E15" s="152" t="s">
        <v>879</v>
      </c>
    </row>
    <row r="16" spans="2:5">
      <c r="E16" s="203"/>
    </row>
    <row r="17" spans="2:7">
      <c r="B17" s="120" t="s">
        <v>459</v>
      </c>
      <c r="E17" s="203"/>
    </row>
    <row r="18" spans="2:7" ht="28.8">
      <c r="B18" s="206" t="s">
        <v>593</v>
      </c>
      <c r="C18" s="205" t="str">
        <f>IF(C8&lt;Lists!C99,"Part L 2021","FHS")</f>
        <v>FHS</v>
      </c>
      <c r="E18" s="213" t="s">
        <v>881</v>
      </c>
    </row>
    <row r="19" spans="2:7" ht="43.2">
      <c r="B19" s="207" t="s">
        <v>618</v>
      </c>
      <c r="C19" s="202" t="s">
        <v>621</v>
      </c>
      <c r="E19" s="152" t="s">
        <v>883</v>
      </c>
    </row>
    <row r="20" spans="2:7" ht="28.8">
      <c r="B20" s="207" t="s">
        <v>619</v>
      </c>
      <c r="C20" s="202" t="s">
        <v>606</v>
      </c>
      <c r="E20" s="152" t="s">
        <v>902</v>
      </c>
    </row>
    <row r="21" spans="2:7" ht="43.2">
      <c r="B21" s="207" t="s">
        <v>620</v>
      </c>
      <c r="C21" s="202" t="s">
        <v>612</v>
      </c>
      <c r="E21" s="152" t="s">
        <v>903</v>
      </c>
    </row>
    <row r="22" spans="2:7">
      <c r="B22" s="207"/>
      <c r="C22" s="207"/>
      <c r="E22" s="208"/>
      <c r="F22" s="207"/>
    </row>
    <row r="23" spans="2:7">
      <c r="B23" s="181" t="s">
        <v>679</v>
      </c>
      <c r="C23" s="207"/>
      <c r="E23" s="208"/>
      <c r="F23" s="207"/>
    </row>
    <row r="24" spans="2:7">
      <c r="B24" s="209" t="s">
        <v>884</v>
      </c>
      <c r="C24" s="207"/>
      <c r="E24" s="208"/>
      <c r="F24" s="207"/>
    </row>
    <row r="25" spans="2:7">
      <c r="B25" s="209" t="s">
        <v>337</v>
      </c>
      <c r="C25" s="210">
        <v>0.18</v>
      </c>
      <c r="E25" s="214" t="s">
        <v>887</v>
      </c>
      <c r="F25" s="207"/>
    </row>
    <row r="26" spans="2:7">
      <c r="B26" s="209" t="s">
        <v>338</v>
      </c>
      <c r="C26" s="210">
        <v>0.21</v>
      </c>
      <c r="E26" s="214" t="s">
        <v>888</v>
      </c>
      <c r="F26" s="207"/>
    </row>
    <row r="27" spans="2:7">
      <c r="B27" s="209" t="s">
        <v>131</v>
      </c>
      <c r="C27" s="210">
        <v>0.13</v>
      </c>
      <c r="E27" s="214" t="s">
        <v>886</v>
      </c>
      <c r="F27" s="207"/>
      <c r="G27" s="206"/>
    </row>
    <row r="28" spans="2:7">
      <c r="B28" s="209" t="s">
        <v>312</v>
      </c>
      <c r="C28" s="210">
        <v>0.13</v>
      </c>
      <c r="E28" s="214" t="s">
        <v>885</v>
      </c>
      <c r="F28" s="207"/>
    </row>
    <row r="29" spans="2:7">
      <c r="B29" s="209" t="s">
        <v>136</v>
      </c>
      <c r="C29" s="210">
        <v>1</v>
      </c>
      <c r="E29" s="214" t="s">
        <v>889</v>
      </c>
      <c r="F29" s="207"/>
    </row>
    <row r="30" spans="2:7">
      <c r="B30" s="209" t="s">
        <v>138</v>
      </c>
      <c r="C30" s="210">
        <v>1.4</v>
      </c>
      <c r="E30" s="214" t="s">
        <v>890</v>
      </c>
      <c r="F30" s="207"/>
    </row>
    <row r="31" spans="2:7">
      <c r="B31" s="209" t="s">
        <v>163</v>
      </c>
      <c r="C31" s="210">
        <v>5</v>
      </c>
      <c r="E31" s="214" t="s">
        <v>891</v>
      </c>
      <c r="F31" s="207"/>
    </row>
    <row r="32" spans="2:7" ht="28.8">
      <c r="B32" s="209" t="s">
        <v>139</v>
      </c>
      <c r="C32" s="210" t="s">
        <v>688</v>
      </c>
      <c r="E32" s="214" t="s">
        <v>892</v>
      </c>
      <c r="F32" s="207"/>
    </row>
    <row r="33" spans="2:6" ht="28.8">
      <c r="B33" s="209" t="s">
        <v>389</v>
      </c>
      <c r="C33" s="211">
        <v>0</v>
      </c>
      <c r="E33" s="214" t="s">
        <v>893</v>
      </c>
      <c r="F33" s="207"/>
    </row>
    <row r="34" spans="2:6" ht="28.8">
      <c r="B34" s="209" t="s">
        <v>344</v>
      </c>
      <c r="C34" s="210" t="s">
        <v>20</v>
      </c>
      <c r="E34" s="214" t="s">
        <v>894</v>
      </c>
      <c r="F34" s="207"/>
    </row>
    <row r="35" spans="2:6">
      <c r="B35" s="209" t="s">
        <v>357</v>
      </c>
      <c r="C35" s="210" t="s">
        <v>366</v>
      </c>
      <c r="E35" s="214" t="s">
        <v>895</v>
      </c>
      <c r="F35" s="207"/>
    </row>
    <row r="37" spans="2:6" s="212" customFormat="1">
      <c r="B37" s="212" t="s">
        <v>461</v>
      </c>
      <c r="D37" s="118"/>
      <c r="E37" s="199"/>
    </row>
    <row r="38" spans="2:6" s="212" customFormat="1">
      <c r="B38" s="209" t="s">
        <v>462</v>
      </c>
      <c r="D38" s="118"/>
      <c r="E38" s="199"/>
    </row>
    <row r="39" spans="2:6" s="212" customFormat="1">
      <c r="B39" s="209" t="s">
        <v>693</v>
      </c>
      <c r="D39" s="118"/>
      <c r="E39" s="199"/>
    </row>
    <row r="40" spans="2:6">
      <c r="B40" s="209" t="s">
        <v>707</v>
      </c>
    </row>
    <row r="41" spans="2:6">
      <c r="B41" s="120" t="s">
        <v>460</v>
      </c>
    </row>
    <row r="42" spans="2:6" ht="57.6">
      <c r="B42" s="118" t="s">
        <v>490</v>
      </c>
      <c r="C42" s="202" t="s">
        <v>482</v>
      </c>
      <c r="E42" s="152" t="s">
        <v>901</v>
      </c>
    </row>
    <row r="43" spans="2:6" ht="15" thickBot="1"/>
    <row r="44" spans="2:6" ht="29.4" thickBot="1">
      <c r="B44" s="118" t="s">
        <v>897</v>
      </c>
      <c r="D44" s="200" t="s">
        <v>870</v>
      </c>
    </row>
    <row r="46" spans="2:6">
      <c r="E46" s="199" t="s">
        <v>896</v>
      </c>
    </row>
  </sheetData>
  <dataValidations count="4">
    <dataValidation type="decimal" allowBlank="1" showInputMessage="1" showErrorMessage="1" sqref="C33">
      <formula1>0</formula1>
      <formula2>1</formula2>
    </dataValidation>
    <dataValidation type="whole" allowBlank="1" showInputMessage="1" showErrorMessage="1" sqref="C15">
      <formula1>2</formula1>
      <formula2>6</formula2>
    </dataValidation>
    <dataValidation type="whole" allowBlank="1" showInputMessage="1" showErrorMessage="1" sqref="C8">
      <formula1>2022</formula1>
      <formula2>2050</formula2>
    </dataValidation>
    <dataValidation type="whole" allowBlank="1" showInputMessage="1" showErrorMessage="1" sqref="C9">
      <formula1>0</formula1>
      <formula2>10000</formula2>
    </dataValidation>
  </dataValidations>
  <hyperlinks>
    <hyperlink ref="D4" location="OUTPUT!A1" display="Go to OUTPUT"/>
    <hyperlink ref="D44" location="OUTPUT!A1" display="Go to OUTPUT"/>
    <hyperlink ref="D2" location="Cover!A1" display="Go to COVER"/>
  </hyperlinks>
  <printOptions horizontalCentered="1"/>
  <pageMargins left="0.70866141732283472" right="0.70866141732283472" top="0.74803149606299213" bottom="0.74803149606299213" header="0.31496062992125984" footer="0.31496062992125984"/>
  <pageSetup paperSize="9" scale="39" orientation="landscape" r:id="rId1"/>
  <ignoredErrors>
    <ignoredError sqref="C14" formulaRange="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Embodied!$B$6:$B$15</xm:f>
          </x14:formula1>
          <xm:sqref>C42</xm:sqref>
        </x14:dataValidation>
        <x14:dataValidation type="list" allowBlank="1" showInputMessage="1" showErrorMessage="1">
          <x14:formula1>
            <xm:f>Lists!$B$5:$B$11</xm:f>
          </x14:formula1>
          <xm:sqref>C25</xm:sqref>
        </x14:dataValidation>
        <x14:dataValidation type="list" allowBlank="1" showInputMessage="1" showErrorMessage="1">
          <x14:formula1>
            <xm:f>Lists!$B$13:$B$19</xm:f>
          </x14:formula1>
          <xm:sqref>C26</xm:sqref>
        </x14:dataValidation>
        <x14:dataValidation type="list" allowBlank="1" showInputMessage="1" showErrorMessage="1">
          <x14:formula1>
            <xm:f>Lists!$B$21:$B$27</xm:f>
          </x14:formula1>
          <xm:sqref>C27</xm:sqref>
        </x14:dataValidation>
        <x14:dataValidation type="list" allowBlank="1" showInputMessage="1" showErrorMessage="1">
          <x14:formula1>
            <xm:f>Lists!$B$29:$B$35</xm:f>
          </x14:formula1>
          <xm:sqref>C28</xm:sqref>
        </x14:dataValidation>
        <x14:dataValidation type="list" allowBlank="1" showInputMessage="1" showErrorMessage="1">
          <x14:formula1>
            <xm:f>Lists!$B$37:$B$41</xm:f>
          </x14:formula1>
          <xm:sqref>C29</xm:sqref>
        </x14:dataValidation>
        <x14:dataValidation type="list" allowBlank="1" showInputMessage="1" showErrorMessage="1">
          <x14:formula1>
            <xm:f>Lists!$B$43:$B$47</xm:f>
          </x14:formula1>
          <xm:sqref>C30</xm:sqref>
        </x14:dataValidation>
        <x14:dataValidation type="list" allowBlank="1" showInputMessage="1" showErrorMessage="1">
          <x14:formula1>
            <xm:f>Lists!$B$49:$B$53</xm:f>
          </x14:formula1>
          <xm:sqref>C31</xm:sqref>
        </x14:dataValidation>
        <x14:dataValidation type="list" allowBlank="1" showInputMessage="1" showErrorMessage="1">
          <x14:formula1>
            <xm:f>Lists!$B$55:$B$56</xm:f>
          </x14:formula1>
          <xm:sqref>C32</xm:sqref>
        </x14:dataValidation>
        <x14:dataValidation type="list" allowBlank="1" showInputMessage="1" showErrorMessage="1">
          <x14:formula1>
            <xm:f>Lists!$B$58:$B$59</xm:f>
          </x14:formula1>
          <xm:sqref>C34</xm:sqref>
        </x14:dataValidation>
        <x14:dataValidation type="list" allowBlank="1" showInputMessage="1" showErrorMessage="1">
          <x14:formula1>
            <xm:f>Lists!$B$61:$B$62</xm:f>
          </x14:formula1>
          <xm:sqref>C35</xm:sqref>
        </x14:dataValidation>
        <x14:dataValidation type="list" allowBlank="1" showInputMessage="1" showErrorMessage="1">
          <x14:formula1>
            <xm:f>Lists!$B$66:$B$72</xm:f>
          </x14:formula1>
          <xm:sqref>C19</xm:sqref>
        </x14:dataValidation>
        <x14:dataValidation type="list" allowBlank="1" showInputMessage="1" showErrorMessage="1">
          <x14:formula1>
            <xm:f>Lists!$B$75:$B$76</xm:f>
          </x14:formula1>
          <xm:sqref>C20</xm:sqref>
        </x14:dataValidation>
        <x14:dataValidation type="list" allowBlank="1" showInputMessage="1" showErrorMessage="1">
          <x14:formula1>
            <xm:f>Lists!$B$79:$B$85</xm:f>
          </x14:formula1>
          <xm:sqref>C21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C100"/>
  <sheetViews>
    <sheetView workbookViewId="0">
      <selection activeCell="B3" sqref="B3"/>
    </sheetView>
  </sheetViews>
  <sheetFormatPr defaultRowHeight="14.4"/>
  <cols>
    <col min="2" max="2" width="42.77734375" customWidth="1"/>
  </cols>
  <sheetData>
    <row r="2" spans="2:3">
      <c r="B2" s="1" t="s">
        <v>859</v>
      </c>
    </row>
    <row r="3" spans="2:3">
      <c r="B3" s="1" t="s">
        <v>680</v>
      </c>
    </row>
    <row r="4" spans="2:3">
      <c r="B4" s="135" t="s">
        <v>681</v>
      </c>
    </row>
    <row r="5" spans="2:3">
      <c r="B5" s="136">
        <f>'C&amp;B'!C180</f>
        <v>0.21</v>
      </c>
    </row>
    <row r="6" spans="2:3">
      <c r="B6" s="136">
        <f>'C&amp;B'!C181</f>
        <v>0.18</v>
      </c>
      <c r="C6" s="76"/>
    </row>
    <row r="7" spans="2:3">
      <c r="B7" s="136">
        <f>'C&amp;B'!C182</f>
        <v>0.17</v>
      </c>
      <c r="C7" s="76"/>
    </row>
    <row r="8" spans="2:3">
      <c r="B8" s="136">
        <f>'C&amp;B'!C183</f>
        <v>0.16</v>
      </c>
      <c r="C8" s="76"/>
    </row>
    <row r="9" spans="2:3">
      <c r="B9" s="136">
        <f>'C&amp;B'!C184</f>
        <v>0.15</v>
      </c>
      <c r="C9" s="76"/>
    </row>
    <row r="10" spans="2:3">
      <c r="B10" s="136">
        <f>'C&amp;B'!C185</f>
        <v>0.14000000000000001</v>
      </c>
      <c r="C10" s="76"/>
    </row>
    <row r="11" spans="2:3">
      <c r="B11" s="136">
        <f>'C&amp;B'!C186</f>
        <v>0.13</v>
      </c>
      <c r="C11" s="76"/>
    </row>
    <row r="12" spans="2:3">
      <c r="B12" s="137" t="s">
        <v>682</v>
      </c>
      <c r="C12" s="76"/>
    </row>
    <row r="13" spans="2:3">
      <c r="B13" s="136">
        <f>'C&amp;B'!C188</f>
        <v>0.21</v>
      </c>
      <c r="C13" s="76"/>
    </row>
    <row r="14" spans="2:3">
      <c r="B14" s="136">
        <f>'C&amp;B'!C189</f>
        <v>0.18</v>
      </c>
      <c r="C14" s="76"/>
    </row>
    <row r="15" spans="2:3">
      <c r="B15" s="136">
        <f>'C&amp;B'!C190</f>
        <v>0.16</v>
      </c>
      <c r="C15" s="76"/>
    </row>
    <row r="16" spans="2:3">
      <c r="B16" s="136">
        <f>'C&amp;B'!C191</f>
        <v>0.15</v>
      </c>
      <c r="C16" s="76"/>
    </row>
    <row r="17" spans="2:3">
      <c r="B17" s="136">
        <f>'C&amp;B'!C192</f>
        <v>0.14000000000000001</v>
      </c>
      <c r="C17" s="76"/>
    </row>
    <row r="18" spans="2:3">
      <c r="B18" s="136">
        <f>'C&amp;B'!C193</f>
        <v>0.13</v>
      </c>
      <c r="C18" s="76"/>
    </row>
    <row r="19" spans="2:3">
      <c r="B19" s="136">
        <f>'C&amp;B'!C194</f>
        <v>0.12</v>
      </c>
      <c r="C19" s="76"/>
    </row>
    <row r="20" spans="2:3">
      <c r="B20" s="137" t="s">
        <v>683</v>
      </c>
    </row>
    <row r="21" spans="2:3">
      <c r="B21" s="136">
        <f>'C&amp;B'!C196</f>
        <v>0.18</v>
      </c>
    </row>
    <row r="22" spans="2:3">
      <c r="B22" s="136">
        <f>'C&amp;B'!C197</f>
        <v>0.16</v>
      </c>
    </row>
    <row r="23" spans="2:3">
      <c r="B23" s="136">
        <f>'C&amp;B'!C198</f>
        <v>0.15</v>
      </c>
    </row>
    <row r="24" spans="2:3">
      <c r="B24" s="136">
        <f>'C&amp;B'!C199</f>
        <v>0.14000000000000001</v>
      </c>
    </row>
    <row r="25" spans="2:3">
      <c r="B25" s="136">
        <f>'C&amp;B'!C200</f>
        <v>0.13</v>
      </c>
    </row>
    <row r="26" spans="2:3">
      <c r="B26" s="136">
        <f>'C&amp;B'!C201</f>
        <v>0.12</v>
      </c>
    </row>
    <row r="27" spans="2:3">
      <c r="B27" s="136">
        <f>'C&amp;B'!C202</f>
        <v>0.11</v>
      </c>
    </row>
    <row r="28" spans="2:3">
      <c r="B28" s="93" t="s">
        <v>684</v>
      </c>
    </row>
    <row r="29" spans="2:3">
      <c r="B29" s="136">
        <f>'C&amp;B'!C204</f>
        <v>0.18</v>
      </c>
    </row>
    <row r="30" spans="2:3">
      <c r="B30" s="136">
        <f>'C&amp;B'!C205</f>
        <v>0.16</v>
      </c>
    </row>
    <row r="31" spans="2:3">
      <c r="B31" s="136">
        <f>'C&amp;B'!C206</f>
        <v>0.15</v>
      </c>
    </row>
    <row r="32" spans="2:3">
      <c r="B32" s="136">
        <f>'C&amp;B'!C207</f>
        <v>0.14000000000000001</v>
      </c>
    </row>
    <row r="33" spans="2:2">
      <c r="B33" s="136">
        <f>'C&amp;B'!C208</f>
        <v>0.13</v>
      </c>
    </row>
    <row r="34" spans="2:2">
      <c r="B34" s="136">
        <f>'C&amp;B'!C209</f>
        <v>0.12</v>
      </c>
    </row>
    <row r="35" spans="2:2">
      <c r="B35" s="136">
        <f>'C&amp;B'!C210</f>
        <v>0.11</v>
      </c>
    </row>
    <row r="36" spans="2:2">
      <c r="B36" s="93" t="s">
        <v>685</v>
      </c>
    </row>
    <row r="37" spans="2:2">
      <c r="B37" s="136">
        <f>'C&amp;B'!C212</f>
        <v>1.4</v>
      </c>
    </row>
    <row r="38" spans="2:2">
      <c r="B38" s="136">
        <f>'C&amp;B'!C213</f>
        <v>1.2</v>
      </c>
    </row>
    <row r="39" spans="2:2">
      <c r="B39" s="136">
        <f>'C&amp;B'!C214</f>
        <v>1.1000000000000001</v>
      </c>
    </row>
    <row r="40" spans="2:2">
      <c r="B40" s="136">
        <f>'C&amp;B'!C215</f>
        <v>1</v>
      </c>
    </row>
    <row r="41" spans="2:2">
      <c r="B41" s="136">
        <f>'C&amp;B'!C216</f>
        <v>0.8</v>
      </c>
    </row>
    <row r="42" spans="2:2">
      <c r="B42" s="93" t="s">
        <v>686</v>
      </c>
    </row>
    <row r="43" spans="2:2">
      <c r="B43" s="136">
        <f>'C&amp;B'!C218</f>
        <v>1.4</v>
      </c>
    </row>
    <row r="44" spans="2:2">
      <c r="B44" s="136">
        <f>'C&amp;B'!C219</f>
        <v>1.3</v>
      </c>
    </row>
    <row r="45" spans="2:2">
      <c r="B45" s="136">
        <f>'C&amp;B'!C220</f>
        <v>1.2</v>
      </c>
    </row>
    <row r="46" spans="2:2">
      <c r="B46" s="136">
        <f>'C&amp;B'!C221</f>
        <v>1</v>
      </c>
    </row>
    <row r="47" spans="2:2">
      <c r="B47" s="136">
        <f>'C&amp;B'!C222</f>
        <v>0.8</v>
      </c>
    </row>
    <row r="48" spans="2:2">
      <c r="B48" s="93" t="s">
        <v>687</v>
      </c>
    </row>
    <row r="49" spans="2:2">
      <c r="B49" s="136">
        <f>'C&amp;B'!C224</f>
        <v>5</v>
      </c>
    </row>
    <row r="50" spans="2:2">
      <c r="B50" s="136">
        <f>'C&amp;B'!C225</f>
        <v>4</v>
      </c>
    </row>
    <row r="51" spans="2:2">
      <c r="B51" s="136">
        <f>'C&amp;B'!C226</f>
        <v>3</v>
      </c>
    </row>
    <row r="52" spans="2:2">
      <c r="B52" s="136">
        <f>'C&amp;B'!C227</f>
        <v>2</v>
      </c>
    </row>
    <row r="53" spans="2:2">
      <c r="B53" s="136">
        <f>'C&amp;B'!C228</f>
        <v>1</v>
      </c>
    </row>
    <row r="54" spans="2:2">
      <c r="B54" s="93" t="s">
        <v>22</v>
      </c>
    </row>
    <row r="55" spans="2:2">
      <c r="B55" s="136" t="s">
        <v>688</v>
      </c>
    </row>
    <row r="56" spans="2:2">
      <c r="B56" s="136" t="s">
        <v>142</v>
      </c>
    </row>
    <row r="57" spans="2:2">
      <c r="B57" s="93" t="s">
        <v>689</v>
      </c>
    </row>
    <row r="58" spans="2:2">
      <c r="B58" s="136" t="s">
        <v>29</v>
      </c>
    </row>
    <row r="59" spans="2:2">
      <c r="B59" s="136" t="s">
        <v>20</v>
      </c>
    </row>
    <row r="60" spans="2:2">
      <c r="B60" s="93" t="s">
        <v>357</v>
      </c>
    </row>
    <row r="61" spans="2:2">
      <c r="B61" s="136" t="s">
        <v>366</v>
      </c>
    </row>
    <row r="62" spans="2:2">
      <c r="B62" s="136" t="s">
        <v>369</v>
      </c>
    </row>
    <row r="63" spans="2:2">
      <c r="B63" s="71"/>
    </row>
    <row r="64" spans="2:2">
      <c r="B64" s="1" t="s">
        <v>598</v>
      </c>
    </row>
    <row r="65" spans="2:2">
      <c r="B65" s="41" t="s">
        <v>599</v>
      </c>
    </row>
    <row r="66" spans="2:2">
      <c r="B66" s="71" t="s">
        <v>621</v>
      </c>
    </row>
    <row r="67" spans="2:2">
      <c r="B67" s="71" t="s">
        <v>600</v>
      </c>
    </row>
    <row r="68" spans="2:2">
      <c r="B68" s="71" t="s">
        <v>601</v>
      </c>
    </row>
    <row r="69" spans="2:2">
      <c r="B69" s="71" t="s">
        <v>602</v>
      </c>
    </row>
    <row r="70" spans="2:2">
      <c r="B70" s="71" t="s">
        <v>603</v>
      </c>
    </row>
    <row r="71" spans="2:2">
      <c r="B71" s="71" t="s">
        <v>604</v>
      </c>
    </row>
    <row r="72" spans="2:2">
      <c r="B72" s="71" t="s">
        <v>791</v>
      </c>
    </row>
    <row r="73" spans="2:2">
      <c r="B73" s="71"/>
    </row>
    <row r="74" spans="2:2">
      <c r="B74" s="41" t="s">
        <v>605</v>
      </c>
    </row>
    <row r="75" spans="2:2">
      <c r="B75" s="71" t="s">
        <v>606</v>
      </c>
    </row>
    <row r="76" spans="2:2">
      <c r="B76" s="71" t="s">
        <v>607</v>
      </c>
    </row>
    <row r="77" spans="2:2">
      <c r="B77" s="71"/>
    </row>
    <row r="78" spans="2:2">
      <c r="B78" s="41" t="s">
        <v>608</v>
      </c>
    </row>
    <row r="79" spans="2:2">
      <c r="B79" s="71" t="s">
        <v>609</v>
      </c>
    </row>
    <row r="80" spans="2:2">
      <c r="B80" s="71" t="s">
        <v>610</v>
      </c>
    </row>
    <row r="81" spans="2:2">
      <c r="B81" s="71" t="s">
        <v>611</v>
      </c>
    </row>
    <row r="82" spans="2:2">
      <c r="B82" s="71" t="s">
        <v>612</v>
      </c>
    </row>
    <row r="83" spans="2:2">
      <c r="B83" s="71" t="s">
        <v>613</v>
      </c>
    </row>
    <row r="84" spans="2:2">
      <c r="B84" s="71" t="s">
        <v>614</v>
      </c>
    </row>
    <row r="85" spans="2:2">
      <c r="B85" s="71" t="s">
        <v>615</v>
      </c>
    </row>
    <row r="86" spans="2:2">
      <c r="B86" s="71"/>
    </row>
    <row r="87" spans="2:2">
      <c r="B87" s="41" t="s">
        <v>616</v>
      </c>
    </row>
    <row r="88" spans="2:2">
      <c r="B88" s="71" t="s">
        <v>622</v>
      </c>
    </row>
    <row r="89" spans="2:2">
      <c r="B89" s="71" t="s">
        <v>610</v>
      </c>
    </row>
    <row r="90" spans="2:2">
      <c r="B90" s="71" t="s">
        <v>611</v>
      </c>
    </row>
    <row r="91" spans="2:2">
      <c r="B91" s="71" t="s">
        <v>612</v>
      </c>
    </row>
    <row r="92" spans="2:2">
      <c r="B92" s="71" t="s">
        <v>613</v>
      </c>
    </row>
    <row r="93" spans="2:2">
      <c r="B93" s="71" t="s">
        <v>614</v>
      </c>
    </row>
    <row r="94" spans="2:2">
      <c r="B94" s="71" t="s">
        <v>617</v>
      </c>
    </row>
    <row r="95" spans="2:2">
      <c r="B95" s="71"/>
    </row>
    <row r="96" spans="2:2">
      <c r="B96" s="1" t="s">
        <v>594</v>
      </c>
    </row>
    <row r="97" spans="2:3">
      <c r="B97" s="71" t="s">
        <v>595</v>
      </c>
      <c r="C97">
        <v>2025</v>
      </c>
    </row>
    <row r="98" spans="2:3">
      <c r="B98" s="71" t="s">
        <v>596</v>
      </c>
      <c r="C98">
        <v>1</v>
      </c>
    </row>
    <row r="99" spans="2:3">
      <c r="B99" s="71" t="s">
        <v>597</v>
      </c>
      <c r="C99">
        <f>C97+C98</f>
        <v>2026</v>
      </c>
    </row>
    <row r="100" spans="2:3">
      <c r="B100" s="7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2:E222"/>
  <sheetViews>
    <sheetView showGridLines="0" topLeftCell="A139" zoomScale="85" zoomScaleNormal="85" workbookViewId="0">
      <selection activeCell="B3" sqref="B3"/>
    </sheetView>
  </sheetViews>
  <sheetFormatPr defaultRowHeight="14.4"/>
  <cols>
    <col min="2" max="2" width="23.44140625" customWidth="1"/>
    <col min="3" max="3" width="19.44140625" customWidth="1"/>
  </cols>
  <sheetData>
    <row r="2" spans="2:5">
      <c r="B2" s="2" t="s">
        <v>0</v>
      </c>
    </row>
    <row r="3" spans="2:5">
      <c r="B3" s="1" t="s">
        <v>6</v>
      </c>
      <c r="C3" s="1" t="s">
        <v>7</v>
      </c>
      <c r="D3" s="1" t="s">
        <v>8</v>
      </c>
      <c r="E3" s="1"/>
    </row>
    <row r="4" spans="2:5">
      <c r="B4" t="s">
        <v>1</v>
      </c>
      <c r="C4" t="s">
        <v>9</v>
      </c>
      <c r="D4" t="s">
        <v>13</v>
      </c>
    </row>
    <row r="5" spans="2:5">
      <c r="B5" t="s">
        <v>2</v>
      </c>
      <c r="C5" t="s">
        <v>9</v>
      </c>
    </row>
    <row r="6" spans="2:5">
      <c r="B6" t="s">
        <v>3</v>
      </c>
      <c r="C6" t="s">
        <v>9</v>
      </c>
      <c r="D6" t="s">
        <v>12</v>
      </c>
    </row>
    <row r="7" spans="2:5">
      <c r="B7" t="s">
        <v>4</v>
      </c>
      <c r="C7" t="s">
        <v>9</v>
      </c>
    </row>
    <row r="8" spans="2:5">
      <c r="B8" t="s">
        <v>10</v>
      </c>
      <c r="C8" t="s">
        <v>9</v>
      </c>
      <c r="D8" t="s">
        <v>864</v>
      </c>
    </row>
    <row r="9" spans="2:5">
      <c r="B9" t="s">
        <v>5</v>
      </c>
      <c r="C9" t="s">
        <v>11</v>
      </c>
    </row>
    <row r="11" spans="2:5">
      <c r="B11" s="1" t="s">
        <v>1</v>
      </c>
    </row>
    <row r="80" spans="2:2">
      <c r="B80" s="1" t="s">
        <v>636</v>
      </c>
    </row>
    <row r="81" spans="2:2">
      <c r="B81" s="4" t="s">
        <v>14</v>
      </c>
    </row>
    <row r="117" spans="2:2">
      <c r="B117" s="1" t="s">
        <v>83</v>
      </c>
    </row>
    <row r="216" spans="2:4">
      <c r="B216" t="s">
        <v>84</v>
      </c>
    </row>
    <row r="217" spans="2:4">
      <c r="B217" t="s">
        <v>85</v>
      </c>
      <c r="C217" t="s">
        <v>86</v>
      </c>
      <c r="D217" t="s">
        <v>87</v>
      </c>
    </row>
    <row r="218" spans="2:4">
      <c r="B218" t="s">
        <v>88</v>
      </c>
      <c r="C218">
        <v>1100</v>
      </c>
      <c r="D218" s="48">
        <v>600</v>
      </c>
    </row>
    <row r="219" spans="2:4">
      <c r="B219" t="s">
        <v>89</v>
      </c>
      <c r="D219">
        <v>1100</v>
      </c>
    </row>
    <row r="222" spans="2:4">
      <c r="B222" s="1" t="s">
        <v>661</v>
      </c>
    </row>
  </sheetData>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2:AJ397"/>
  <sheetViews>
    <sheetView topLeftCell="A244" zoomScale="115" zoomScaleNormal="115" workbookViewId="0">
      <selection activeCell="B3" sqref="B3"/>
    </sheetView>
  </sheetViews>
  <sheetFormatPr defaultColWidth="9.21875" defaultRowHeight="14.4"/>
  <cols>
    <col min="1" max="1" width="9.21875" style="17"/>
    <col min="2" max="2" width="29.77734375" style="27" customWidth="1"/>
    <col min="3" max="3" width="12.77734375" style="16" customWidth="1"/>
    <col min="4" max="4" width="10.21875" style="16" customWidth="1"/>
    <col min="5" max="15" width="9.21875" style="16"/>
    <col min="16" max="18" width="9.21875" style="17"/>
    <col min="19" max="19" width="10.21875" style="17" bestFit="1" customWidth="1"/>
    <col min="20" max="16384" width="9.21875" style="17"/>
  </cols>
  <sheetData>
    <row r="2" spans="2:16" customFormat="1">
      <c r="B2" s="1" t="s">
        <v>865</v>
      </c>
    </row>
    <row r="3" spans="2:16" customFormat="1">
      <c r="B3" s="1"/>
    </row>
    <row r="4" spans="2:16">
      <c r="B4" s="15" t="s">
        <v>97</v>
      </c>
    </row>
    <row r="5" spans="2:16" s="20" customFormat="1" ht="28.8">
      <c r="B5" s="18"/>
      <c r="C5" s="13" t="s">
        <v>17</v>
      </c>
      <c r="D5" s="13" t="s">
        <v>90</v>
      </c>
      <c r="E5" s="13" t="s">
        <v>91</v>
      </c>
      <c r="F5" s="13" t="s">
        <v>92</v>
      </c>
      <c r="G5" s="13" t="s">
        <v>93</v>
      </c>
      <c r="H5" s="13" t="s">
        <v>94</v>
      </c>
      <c r="I5" s="13" t="s">
        <v>95</v>
      </c>
      <c r="J5" s="13" t="s">
        <v>96</v>
      </c>
      <c r="K5" s="19"/>
      <c r="L5" s="16"/>
      <c r="M5" s="16"/>
      <c r="N5" s="16"/>
      <c r="O5" s="16"/>
      <c r="P5" s="17"/>
    </row>
    <row r="6" spans="2:16">
      <c r="B6" s="21" t="s">
        <v>98</v>
      </c>
      <c r="C6" s="22"/>
      <c r="D6" s="22"/>
      <c r="E6" s="22"/>
      <c r="F6" s="22"/>
      <c r="G6" s="22"/>
      <c r="H6" s="22"/>
      <c r="I6" s="22"/>
      <c r="J6" s="22"/>
    </row>
    <row r="7" spans="2:16">
      <c r="B7" s="23" t="s">
        <v>99</v>
      </c>
      <c r="C7" s="24">
        <v>0</v>
      </c>
      <c r="D7" s="24">
        <v>41.8</v>
      </c>
      <c r="E7" s="24">
        <v>28.1</v>
      </c>
      <c r="F7" s="24">
        <v>28.1</v>
      </c>
      <c r="G7" s="24">
        <v>28.1</v>
      </c>
      <c r="H7" s="24">
        <v>29.2</v>
      </c>
      <c r="I7" s="24">
        <v>29.2</v>
      </c>
      <c r="J7" s="24">
        <v>29.2</v>
      </c>
    </row>
    <row r="8" spans="2:16">
      <c r="B8" s="23" t="s">
        <v>100</v>
      </c>
      <c r="C8" s="24">
        <v>156.30000000000001</v>
      </c>
      <c r="D8" s="24">
        <v>93.8</v>
      </c>
      <c r="E8" s="24">
        <v>18</v>
      </c>
      <c r="F8" s="24">
        <v>18</v>
      </c>
      <c r="G8" s="24">
        <v>18</v>
      </c>
      <c r="H8" s="24">
        <v>41.3</v>
      </c>
      <c r="I8" s="24">
        <v>41.3</v>
      </c>
      <c r="J8" s="24">
        <v>41.3</v>
      </c>
      <c r="P8" s="16"/>
    </row>
    <row r="9" spans="2:16" ht="22.8">
      <c r="B9" s="23" t="s">
        <v>101</v>
      </c>
      <c r="C9" s="24">
        <v>0</v>
      </c>
      <c r="D9" s="24">
        <v>0</v>
      </c>
      <c r="E9" s="24">
        <v>24</v>
      </c>
      <c r="F9" s="24">
        <v>24</v>
      </c>
      <c r="G9" s="24">
        <v>24</v>
      </c>
      <c r="H9" s="24">
        <v>12.1</v>
      </c>
      <c r="I9" s="24">
        <v>12.1</v>
      </c>
      <c r="J9" s="24">
        <v>12.1</v>
      </c>
    </row>
    <row r="10" spans="2:16">
      <c r="B10" s="23" t="s">
        <v>102</v>
      </c>
      <c r="C10" s="24">
        <v>58.1</v>
      </c>
      <c r="D10" s="24">
        <v>41.8</v>
      </c>
      <c r="E10" s="24">
        <v>0</v>
      </c>
      <c r="F10" s="24">
        <v>0</v>
      </c>
      <c r="G10" s="24">
        <v>50</v>
      </c>
      <c r="H10" s="24">
        <v>0</v>
      </c>
      <c r="I10" s="24">
        <v>0</v>
      </c>
      <c r="J10" s="24">
        <v>70.099999999999994</v>
      </c>
    </row>
    <row r="11" spans="2:16" ht="22.8">
      <c r="B11" s="23" t="s">
        <v>103</v>
      </c>
      <c r="C11" s="24">
        <v>0.8</v>
      </c>
      <c r="D11" s="24">
        <v>0.8</v>
      </c>
      <c r="E11" s="24">
        <v>0</v>
      </c>
      <c r="F11" s="24">
        <v>0</v>
      </c>
      <c r="G11" s="24">
        <v>0</v>
      </c>
      <c r="H11" s="24">
        <v>0</v>
      </c>
      <c r="I11" s="24">
        <v>0</v>
      </c>
      <c r="J11" s="24">
        <v>0</v>
      </c>
    </row>
    <row r="12" spans="2:16">
      <c r="B12" s="23" t="s">
        <v>104</v>
      </c>
      <c r="C12" s="24">
        <v>58.9</v>
      </c>
      <c r="D12" s="24">
        <v>42.6</v>
      </c>
      <c r="E12" s="24">
        <v>50</v>
      </c>
      <c r="F12" s="24">
        <v>0</v>
      </c>
      <c r="G12" s="24">
        <v>0</v>
      </c>
      <c r="H12" s="24">
        <v>70.099999999999994</v>
      </c>
      <c r="I12" s="24">
        <v>0</v>
      </c>
      <c r="J12" s="24">
        <v>0</v>
      </c>
    </row>
    <row r="13" spans="2:16">
      <c r="B13" s="23" t="s">
        <v>105</v>
      </c>
      <c r="C13" s="24">
        <v>117.1</v>
      </c>
      <c r="D13" s="24">
        <v>84.4</v>
      </c>
      <c r="E13" s="24">
        <v>50</v>
      </c>
      <c r="F13" s="24">
        <v>50</v>
      </c>
      <c r="G13" s="24">
        <v>50</v>
      </c>
      <c r="H13" s="24">
        <v>70.099999999999994</v>
      </c>
      <c r="I13" s="24">
        <v>70.099999999999994</v>
      </c>
      <c r="J13" s="24">
        <v>70.099999999999994</v>
      </c>
    </row>
    <row r="14" spans="2:16" ht="22.8">
      <c r="B14" s="23" t="s">
        <v>106</v>
      </c>
      <c r="C14" s="24">
        <v>26.2</v>
      </c>
      <c r="D14" s="24">
        <v>14.6</v>
      </c>
      <c r="E14" s="24">
        <v>9.8000000000000007</v>
      </c>
      <c r="F14" s="24">
        <v>9.8000000000000007</v>
      </c>
      <c r="G14" s="24">
        <v>9.8000000000000007</v>
      </c>
      <c r="H14" s="24">
        <v>13.8</v>
      </c>
      <c r="I14" s="24">
        <v>13.8</v>
      </c>
      <c r="J14" s="24">
        <v>13.8</v>
      </c>
    </row>
    <row r="15" spans="2:16">
      <c r="B15" s="23" t="s">
        <v>107</v>
      </c>
      <c r="C15" s="24">
        <v>2.1</v>
      </c>
      <c r="D15" s="24">
        <v>2.1</v>
      </c>
      <c r="E15" s="24">
        <v>2.1</v>
      </c>
      <c r="F15" s="24">
        <v>2.1</v>
      </c>
      <c r="G15" s="24">
        <v>2.1</v>
      </c>
      <c r="H15" s="24">
        <v>2.1</v>
      </c>
      <c r="I15" s="24">
        <v>2.1</v>
      </c>
      <c r="J15" s="24">
        <v>2.1</v>
      </c>
    </row>
    <row r="16" spans="2:16">
      <c r="B16" s="23" t="s">
        <v>108</v>
      </c>
      <c r="C16" s="22"/>
      <c r="D16" s="22"/>
      <c r="E16" s="22"/>
      <c r="F16" s="22"/>
      <c r="G16" s="22"/>
      <c r="H16" s="22"/>
      <c r="I16" s="22"/>
      <c r="J16" s="22"/>
    </row>
    <row r="17" spans="2:11">
      <c r="B17" s="23" t="s">
        <v>109</v>
      </c>
      <c r="C17" s="24">
        <v>2.4</v>
      </c>
      <c r="D17" s="24">
        <v>2.4</v>
      </c>
      <c r="E17" s="24">
        <v>2.4</v>
      </c>
      <c r="F17" s="24">
        <v>2.4</v>
      </c>
      <c r="G17" s="24">
        <v>2.4</v>
      </c>
      <c r="H17" s="24">
        <v>2.4</v>
      </c>
      <c r="I17" s="24">
        <v>2.4</v>
      </c>
      <c r="J17" s="24">
        <v>2.4</v>
      </c>
    </row>
    <row r="18" spans="2:11">
      <c r="B18" s="109" t="s">
        <v>654</v>
      </c>
      <c r="C18" s="110">
        <v>2</v>
      </c>
      <c r="D18" s="110">
        <v>2</v>
      </c>
      <c r="E18" s="134">
        <f>INPUT!$C$15</f>
        <v>2</v>
      </c>
      <c r="F18" s="134">
        <f>INPUT!$C$15</f>
        <v>2</v>
      </c>
      <c r="G18" s="134">
        <f>INPUT!$C$15</f>
        <v>2</v>
      </c>
      <c r="H18" s="134">
        <f>INPUT!$C$15</f>
        <v>2</v>
      </c>
      <c r="I18" s="134">
        <f>INPUT!$C$15</f>
        <v>2</v>
      </c>
      <c r="J18" s="134">
        <f>INPUT!$C$15</f>
        <v>2</v>
      </c>
    </row>
    <row r="19" spans="2:11">
      <c r="B19" s="103" t="s">
        <v>631</v>
      </c>
      <c r="C19" s="104">
        <f>2*C17*C12</f>
        <v>282.71999999999997</v>
      </c>
      <c r="D19" s="104">
        <f t="shared" ref="D19" si="0">2*D17*D12</f>
        <v>204.48</v>
      </c>
      <c r="E19" s="104">
        <f>1*E17*E12</f>
        <v>120</v>
      </c>
      <c r="F19" s="104">
        <f>1*F17*F13</f>
        <v>120</v>
      </c>
      <c r="G19" s="104">
        <f>1*G17*G13</f>
        <v>120</v>
      </c>
      <c r="H19" s="104">
        <f t="shared" ref="H19" si="1">1*H17*H12</f>
        <v>168.23999999999998</v>
      </c>
      <c r="I19" s="104">
        <f>1*I17*I13</f>
        <v>168.23999999999998</v>
      </c>
      <c r="J19" s="104">
        <f>1*J17*J13</f>
        <v>168.23999999999998</v>
      </c>
    </row>
    <row r="20" spans="2:11">
      <c r="B20" s="103" t="s">
        <v>110</v>
      </c>
      <c r="C20" s="104">
        <f>SUM(C8:C12,C14:C15)</f>
        <v>302.40000000000003</v>
      </c>
      <c r="D20" s="104">
        <f t="shared" ref="D20:J20" si="2">SUM(D8:D12,D14:D15)</f>
        <v>195.7</v>
      </c>
      <c r="E20" s="104">
        <f t="shared" si="2"/>
        <v>103.89999999999999</v>
      </c>
      <c r="F20" s="104">
        <f t="shared" si="2"/>
        <v>53.9</v>
      </c>
      <c r="G20" s="104">
        <f t="shared" si="2"/>
        <v>103.89999999999999</v>
      </c>
      <c r="H20" s="104">
        <f t="shared" si="2"/>
        <v>139.4</v>
      </c>
      <c r="I20" s="104">
        <f t="shared" si="2"/>
        <v>69.3</v>
      </c>
      <c r="J20" s="104">
        <f t="shared" si="2"/>
        <v>139.4</v>
      </c>
    </row>
    <row r="21" spans="2:11" s="3" customFormat="1">
      <c r="B21" s="103" t="s">
        <v>309</v>
      </c>
      <c r="C21" s="104">
        <f>1+1.76*(1-EXP(-0.000349*('C&amp;B'!C13-13.9)^2))+(0.0013*('C&amp;B'!C25-13.9))</f>
        <v>2.6991472352797787</v>
      </c>
      <c r="D21" s="104">
        <f>1+1.76*(1-EXP(-0.000349*('C&amp;B'!D13-13.9)^2))+(0.0013*('C&amp;B'!D25-13.9))</f>
        <v>2.431346794521084</v>
      </c>
      <c r="E21" s="104">
        <f>1+1.76*(1-EXP(-0.000349*('C&amp;B'!E13-13.9)^2))+(0.0013*('C&amp;B'!E25-13.9))</f>
        <v>1.6251008890848955</v>
      </c>
      <c r="F21" s="104">
        <f>1+1.76*(1-EXP(-0.000349*('C&amp;B'!F13-13.9)^2))+(0.0013*('C&amp;B'!F25-13.9))</f>
        <v>1.6251008890848955</v>
      </c>
      <c r="G21" s="104">
        <f>1+1.76*(1-EXP(-0.000349*('C&amp;B'!G13-13.9)^2))+(0.0013*('C&amp;B'!G25-13.9))</f>
        <v>1.6251008890848955</v>
      </c>
      <c r="H21" s="104">
        <f>1+1.76*(1-EXP(-0.000349*('C&amp;B'!H13-13.9)^2))+(0.0013*('C&amp;B'!H25-13.9))</f>
        <v>2.1574202112263499</v>
      </c>
      <c r="I21" s="104">
        <f>1+1.76*(1-EXP(-0.000349*('C&amp;B'!I13-13.9)^2))+(0.0013*('C&amp;B'!I25-13.9))</f>
        <v>2.1574202112263499</v>
      </c>
      <c r="J21" s="104">
        <f>1+1.76*(1-EXP(-0.000349*('C&amp;B'!J13-13.9)^2))+(0.0013*('C&amp;B'!J25-13.9))</f>
        <v>2.1574202112263499</v>
      </c>
      <c r="K21" s="40"/>
    </row>
    <row r="23" spans="2:11">
      <c r="B23" s="15" t="s">
        <v>111</v>
      </c>
    </row>
    <row r="24" spans="2:11">
      <c r="B24" s="21"/>
      <c r="C24" s="22" t="s">
        <v>112</v>
      </c>
      <c r="D24" s="22" t="s">
        <v>113</v>
      </c>
    </row>
    <row r="25" spans="2:11">
      <c r="B25" s="23" t="s">
        <v>114</v>
      </c>
      <c r="C25" s="22"/>
      <c r="D25" s="22"/>
    </row>
    <row r="26" spans="2:11">
      <c r="B26" s="23" t="s">
        <v>99</v>
      </c>
      <c r="C26" s="24">
        <v>0</v>
      </c>
      <c r="D26" s="24">
        <v>0</v>
      </c>
    </row>
    <row r="27" spans="2:11">
      <c r="B27" s="23" t="s">
        <v>115</v>
      </c>
      <c r="C27" s="25">
        <v>1008</v>
      </c>
      <c r="D27" s="25">
        <v>8000</v>
      </c>
    </row>
    <row r="28" spans="2:11">
      <c r="B28" s="23" t="s">
        <v>102</v>
      </c>
      <c r="C28" s="25">
        <v>1500</v>
      </c>
      <c r="D28" s="25">
        <v>3000</v>
      </c>
    </row>
    <row r="29" spans="2:11">
      <c r="B29" s="23" t="s">
        <v>116</v>
      </c>
      <c r="C29" s="25">
        <v>1500</v>
      </c>
      <c r="D29" s="25">
        <v>3000</v>
      </c>
    </row>
    <row r="30" spans="2:11">
      <c r="B30" s="23" t="s">
        <v>105</v>
      </c>
      <c r="C30" s="25">
        <v>4500</v>
      </c>
      <c r="D30" s="25">
        <v>30000</v>
      </c>
    </row>
    <row r="31" spans="2:11">
      <c r="B31" s="23" t="s">
        <v>117</v>
      </c>
      <c r="C31" s="26">
        <v>0.4</v>
      </c>
      <c r="D31" s="26">
        <v>0.8</v>
      </c>
    </row>
    <row r="32" spans="2:11">
      <c r="B32" s="23" t="s">
        <v>118</v>
      </c>
      <c r="C32" s="24">
        <v>672</v>
      </c>
      <c r="D32" s="25">
        <v>6400</v>
      </c>
    </row>
    <row r="33" spans="2:12">
      <c r="B33" s="23" t="s">
        <v>108</v>
      </c>
      <c r="C33" s="22"/>
      <c r="D33" s="22"/>
    </row>
    <row r="34" spans="2:12">
      <c r="B34" s="23" t="s">
        <v>109</v>
      </c>
      <c r="C34" s="24">
        <v>3.6</v>
      </c>
      <c r="D34" s="24">
        <v>3.6</v>
      </c>
    </row>
    <row r="36" spans="2:12">
      <c r="B36" s="15" t="s">
        <v>119</v>
      </c>
    </row>
    <row r="37" spans="2:12" ht="34.200000000000003">
      <c r="B37" s="21"/>
      <c r="C37" s="22"/>
      <c r="D37" s="24" t="s">
        <v>120</v>
      </c>
      <c r="E37" s="24" t="s">
        <v>121</v>
      </c>
      <c r="F37" s="24" t="s">
        <v>122</v>
      </c>
      <c r="G37" s="24" t="s">
        <v>123</v>
      </c>
      <c r="H37" s="24" t="s">
        <v>124</v>
      </c>
      <c r="I37" s="24" t="s">
        <v>125</v>
      </c>
      <c r="J37" s="24" t="s">
        <v>126</v>
      </c>
      <c r="K37" s="17"/>
      <c r="L37" s="17"/>
    </row>
    <row r="38" spans="2:12" ht="22.8">
      <c r="B38" s="23" t="s">
        <v>127</v>
      </c>
      <c r="C38" s="24" t="s">
        <v>128</v>
      </c>
      <c r="D38" s="24">
        <v>0.18</v>
      </c>
      <c r="E38" s="24">
        <v>0.15</v>
      </c>
      <c r="F38" s="24">
        <v>0.18</v>
      </c>
      <c r="G38" s="24">
        <v>0.17</v>
      </c>
      <c r="H38" s="24">
        <v>0.15</v>
      </c>
      <c r="I38" s="24">
        <v>0.15</v>
      </c>
      <c r="J38" s="24">
        <v>0.13</v>
      </c>
      <c r="K38" s="17"/>
      <c r="L38" s="17"/>
    </row>
    <row r="39" spans="2:12">
      <c r="B39" s="23" t="s">
        <v>129</v>
      </c>
      <c r="C39" s="24" t="s">
        <v>130</v>
      </c>
      <c r="D39" s="24" t="s">
        <v>130</v>
      </c>
      <c r="E39" s="24" t="s">
        <v>130</v>
      </c>
      <c r="F39" s="24" t="s">
        <v>130</v>
      </c>
      <c r="G39" s="24" t="s">
        <v>130</v>
      </c>
      <c r="H39" s="24" t="s">
        <v>130</v>
      </c>
      <c r="I39" s="24" t="s">
        <v>130</v>
      </c>
      <c r="J39" s="24" t="s">
        <v>130</v>
      </c>
      <c r="K39" s="17"/>
      <c r="L39" s="17"/>
    </row>
    <row r="40" spans="2:12" ht="22.8">
      <c r="B40" s="23" t="s">
        <v>131</v>
      </c>
      <c r="C40" s="24" t="s">
        <v>132</v>
      </c>
      <c r="D40" s="24">
        <v>0.13</v>
      </c>
      <c r="E40" s="24">
        <v>0.11</v>
      </c>
      <c r="F40" s="24">
        <v>0.15</v>
      </c>
      <c r="G40" s="24">
        <v>0.11</v>
      </c>
      <c r="H40" s="24">
        <v>0.11</v>
      </c>
      <c r="I40" s="24">
        <v>0.11</v>
      </c>
      <c r="J40" s="24">
        <v>0.11</v>
      </c>
      <c r="K40" s="17"/>
      <c r="L40" s="17"/>
    </row>
    <row r="41" spans="2:12" ht="22.8">
      <c r="B41" s="23" t="s">
        <v>133</v>
      </c>
      <c r="C41" s="24" t="s">
        <v>134</v>
      </c>
      <c r="D41" s="24">
        <v>0.13</v>
      </c>
      <c r="E41" s="24">
        <v>0.11</v>
      </c>
      <c r="F41" s="24">
        <v>0.11</v>
      </c>
      <c r="G41" s="24">
        <v>0.11</v>
      </c>
      <c r="H41" s="24">
        <v>0.11</v>
      </c>
      <c r="I41" s="24">
        <v>0.11</v>
      </c>
      <c r="J41" s="24">
        <v>0.11</v>
      </c>
      <c r="K41" s="17"/>
      <c r="L41" s="17"/>
    </row>
    <row r="42" spans="2:12">
      <c r="B42" s="23" t="s">
        <v>135</v>
      </c>
      <c r="C42" s="24">
        <v>0.13</v>
      </c>
      <c r="D42" s="24">
        <v>0.13</v>
      </c>
      <c r="E42" s="24">
        <v>0.2</v>
      </c>
      <c r="F42" s="24">
        <v>0.13</v>
      </c>
      <c r="G42" s="24">
        <v>0.13</v>
      </c>
      <c r="H42" s="24">
        <v>0.11</v>
      </c>
      <c r="I42" s="24">
        <v>0.11</v>
      </c>
      <c r="J42" s="24">
        <v>0.11</v>
      </c>
      <c r="K42" s="17"/>
      <c r="L42" s="17"/>
    </row>
    <row r="43" spans="2:12" ht="22.8">
      <c r="B43" s="23" t="s">
        <v>136</v>
      </c>
      <c r="C43" s="24" t="s">
        <v>137</v>
      </c>
      <c r="D43" s="24">
        <v>1</v>
      </c>
      <c r="E43" s="24">
        <v>1</v>
      </c>
      <c r="F43" s="24">
        <v>1.2</v>
      </c>
      <c r="G43" s="24">
        <v>1</v>
      </c>
      <c r="H43" s="24">
        <v>1</v>
      </c>
      <c r="I43" s="24">
        <v>1</v>
      </c>
      <c r="J43" s="24">
        <v>1</v>
      </c>
      <c r="K43" s="17"/>
      <c r="L43" s="17"/>
    </row>
    <row r="44" spans="2:12" ht="22.8">
      <c r="B44" s="23" t="s">
        <v>138</v>
      </c>
      <c r="C44" s="24" t="s">
        <v>137</v>
      </c>
      <c r="D44" s="24">
        <v>1.4</v>
      </c>
      <c r="E44" s="24">
        <v>0.8</v>
      </c>
      <c r="F44" s="24">
        <v>1.4</v>
      </c>
      <c r="G44" s="24">
        <v>1.2</v>
      </c>
      <c r="H44" s="24">
        <v>0.8</v>
      </c>
      <c r="I44" s="24">
        <v>0.8</v>
      </c>
      <c r="J44" s="24">
        <v>0.8</v>
      </c>
      <c r="K44" s="17"/>
      <c r="L44" s="17"/>
    </row>
    <row r="45" spans="2:12">
      <c r="B45" s="23" t="s">
        <v>139</v>
      </c>
      <c r="C45" s="24" t="s">
        <v>140</v>
      </c>
      <c r="D45" s="24" t="s">
        <v>141</v>
      </c>
      <c r="E45" s="24" t="s">
        <v>141</v>
      </c>
      <c r="F45" s="24" t="s">
        <v>142</v>
      </c>
      <c r="G45" s="24" t="s">
        <v>142</v>
      </c>
      <c r="H45" s="24" t="s">
        <v>142</v>
      </c>
      <c r="I45" s="24" t="s">
        <v>142</v>
      </c>
      <c r="J45" s="24" t="s">
        <v>142</v>
      </c>
      <c r="K45" s="17"/>
      <c r="L45" s="17"/>
    </row>
    <row r="46" spans="2:12" ht="22.8">
      <c r="B46" s="23" t="s">
        <v>143</v>
      </c>
      <c r="C46" s="24" t="s">
        <v>144</v>
      </c>
      <c r="D46" s="24">
        <v>5</v>
      </c>
      <c r="E46" s="24">
        <v>3</v>
      </c>
      <c r="F46" s="24">
        <v>3</v>
      </c>
      <c r="G46" s="24">
        <v>3</v>
      </c>
      <c r="H46" s="24">
        <v>3</v>
      </c>
      <c r="I46" s="24">
        <v>2</v>
      </c>
      <c r="J46" s="24">
        <v>1</v>
      </c>
      <c r="K46" s="17"/>
      <c r="L46" s="17"/>
    </row>
    <row r="47" spans="2:12" ht="22.8">
      <c r="B47" s="23" t="s">
        <v>145</v>
      </c>
      <c r="C47" s="24" t="s">
        <v>146</v>
      </c>
      <c r="D47" s="24">
        <v>0.05</v>
      </c>
      <c r="E47" s="24">
        <v>0.02</v>
      </c>
      <c r="F47" s="24">
        <v>0.05</v>
      </c>
      <c r="G47" s="24">
        <v>0.05</v>
      </c>
      <c r="H47" s="24">
        <v>0.05</v>
      </c>
      <c r="I47" s="24">
        <v>0.04</v>
      </c>
      <c r="J47" s="24">
        <v>0.04</v>
      </c>
      <c r="K47" s="17"/>
      <c r="L47" s="17"/>
    </row>
    <row r="48" spans="2:12">
      <c r="K48" s="17"/>
      <c r="L48" s="17"/>
    </row>
    <row r="49" spans="2:12">
      <c r="B49" s="15" t="s">
        <v>147</v>
      </c>
      <c r="K49" s="17"/>
      <c r="L49" s="17"/>
    </row>
    <row r="50" spans="2:12" ht="22.8">
      <c r="B50" s="21"/>
      <c r="C50" s="22"/>
      <c r="D50" s="24" t="s">
        <v>120</v>
      </c>
      <c r="E50" s="24" t="s">
        <v>148</v>
      </c>
      <c r="F50" s="24" t="s">
        <v>123</v>
      </c>
      <c r="G50" s="24" t="s">
        <v>124</v>
      </c>
      <c r="H50" s="24" t="s">
        <v>125</v>
      </c>
      <c r="I50" s="24" t="s">
        <v>126</v>
      </c>
      <c r="J50" s="24" t="s">
        <v>126</v>
      </c>
      <c r="K50" s="17"/>
      <c r="L50" s="17"/>
    </row>
    <row r="51" spans="2:12" ht="22.8">
      <c r="B51" s="23" t="s">
        <v>127</v>
      </c>
      <c r="C51" s="24" t="s">
        <v>128</v>
      </c>
      <c r="D51" s="24">
        <v>0.18</v>
      </c>
      <c r="E51" s="24">
        <v>0.18</v>
      </c>
      <c r="F51" s="24">
        <v>0.18</v>
      </c>
      <c r="G51" s="24">
        <v>0.16</v>
      </c>
      <c r="H51" s="24">
        <v>0.15</v>
      </c>
      <c r="I51" s="24">
        <v>0.21</v>
      </c>
      <c r="J51" s="24">
        <v>0.13</v>
      </c>
      <c r="K51" s="17"/>
      <c r="L51" s="17"/>
    </row>
    <row r="52" spans="2:12">
      <c r="B52" s="23" t="s">
        <v>129</v>
      </c>
      <c r="C52" s="24" t="s">
        <v>130</v>
      </c>
      <c r="D52" s="24" t="s">
        <v>130</v>
      </c>
      <c r="E52" s="24" t="s">
        <v>130</v>
      </c>
      <c r="F52" s="24" t="s">
        <v>130</v>
      </c>
      <c r="G52" s="24" t="s">
        <v>130</v>
      </c>
      <c r="H52" s="24" t="s">
        <v>130</v>
      </c>
      <c r="I52" s="24" t="s">
        <v>130</v>
      </c>
      <c r="J52" s="24" t="s">
        <v>130</v>
      </c>
      <c r="K52" s="17"/>
      <c r="L52" s="17"/>
    </row>
    <row r="53" spans="2:12" ht="22.8">
      <c r="B53" s="23" t="s">
        <v>131</v>
      </c>
      <c r="C53" s="24" t="s">
        <v>132</v>
      </c>
      <c r="D53" s="24">
        <v>0.13</v>
      </c>
      <c r="E53" s="24">
        <v>0.15</v>
      </c>
      <c r="F53" s="24">
        <v>0.13</v>
      </c>
      <c r="G53" s="24">
        <v>0.12</v>
      </c>
      <c r="H53" s="24">
        <v>0.11</v>
      </c>
      <c r="I53" s="24">
        <v>0.11</v>
      </c>
      <c r="J53" s="24">
        <v>0.13</v>
      </c>
      <c r="K53" s="17"/>
      <c r="L53" s="17"/>
    </row>
    <row r="54" spans="2:12" ht="22.8">
      <c r="B54" s="23" t="s">
        <v>133</v>
      </c>
      <c r="C54" s="24" t="s">
        <v>134</v>
      </c>
      <c r="D54" s="24">
        <v>0.13</v>
      </c>
      <c r="E54" s="24">
        <v>0.11</v>
      </c>
      <c r="F54" s="24">
        <v>0.13</v>
      </c>
      <c r="G54" s="24">
        <v>0.11</v>
      </c>
      <c r="H54" s="24">
        <v>0.11</v>
      </c>
      <c r="I54" s="24">
        <v>0.11</v>
      </c>
      <c r="J54" s="24">
        <v>0.11</v>
      </c>
      <c r="K54" s="17"/>
      <c r="L54" s="17"/>
    </row>
    <row r="55" spans="2:12">
      <c r="B55" s="23" t="s">
        <v>135</v>
      </c>
      <c r="C55" s="24">
        <v>0.13</v>
      </c>
      <c r="D55" s="24">
        <v>0.2</v>
      </c>
      <c r="E55" s="24">
        <v>0.2</v>
      </c>
      <c r="F55" s="24">
        <v>0.15</v>
      </c>
      <c r="G55" s="24">
        <v>0.13</v>
      </c>
      <c r="H55" s="24">
        <v>0.13</v>
      </c>
      <c r="I55" s="24">
        <v>0.13</v>
      </c>
      <c r="J55" s="24">
        <v>0.11</v>
      </c>
      <c r="K55" s="17"/>
      <c r="L55" s="17"/>
    </row>
    <row r="56" spans="2:12" ht="22.8">
      <c r="B56" s="23" t="s">
        <v>136</v>
      </c>
      <c r="C56" s="24" t="s">
        <v>137</v>
      </c>
      <c r="D56" s="24">
        <v>1</v>
      </c>
      <c r="E56" s="24">
        <v>1.2</v>
      </c>
      <c r="F56" s="24">
        <v>1</v>
      </c>
      <c r="G56" s="24">
        <v>1</v>
      </c>
      <c r="H56" s="24">
        <v>1</v>
      </c>
      <c r="I56" s="24">
        <v>1</v>
      </c>
      <c r="J56" s="24">
        <v>1</v>
      </c>
      <c r="K56" s="17"/>
      <c r="L56" s="17"/>
    </row>
    <row r="57" spans="2:12" ht="22.8">
      <c r="B57" s="23" t="s">
        <v>138</v>
      </c>
      <c r="C57" s="24" t="s">
        <v>137</v>
      </c>
      <c r="D57" s="24">
        <v>1.4</v>
      </c>
      <c r="E57" s="24">
        <v>1.2</v>
      </c>
      <c r="F57" s="24">
        <v>1.4</v>
      </c>
      <c r="G57" s="24">
        <v>1.2</v>
      </c>
      <c r="H57" s="24">
        <v>0.8</v>
      </c>
      <c r="I57" s="24">
        <v>0.8</v>
      </c>
      <c r="J57" s="24">
        <v>0.8</v>
      </c>
      <c r="K57" s="17"/>
      <c r="L57" s="17"/>
    </row>
    <row r="58" spans="2:12">
      <c r="B58" s="23" t="s">
        <v>139</v>
      </c>
      <c r="C58" s="24" t="s">
        <v>140</v>
      </c>
      <c r="D58" s="24" t="s">
        <v>141</v>
      </c>
      <c r="E58" s="24" t="s">
        <v>141</v>
      </c>
      <c r="F58" s="24" t="s">
        <v>142</v>
      </c>
      <c r="G58" s="24" t="s">
        <v>142</v>
      </c>
      <c r="H58" s="24" t="s">
        <v>142</v>
      </c>
      <c r="I58" s="24" t="s">
        <v>142</v>
      </c>
      <c r="J58" s="24" t="s">
        <v>142</v>
      </c>
      <c r="K58" s="17"/>
      <c r="L58" s="17"/>
    </row>
    <row r="59" spans="2:12" ht="22.8">
      <c r="B59" s="23" t="s">
        <v>143</v>
      </c>
      <c r="C59" s="24" t="s">
        <v>144</v>
      </c>
      <c r="D59" s="24">
        <v>5</v>
      </c>
      <c r="E59" s="24">
        <v>5</v>
      </c>
      <c r="F59" s="24">
        <v>3</v>
      </c>
      <c r="G59" s="24">
        <v>3</v>
      </c>
      <c r="H59" s="24">
        <v>2</v>
      </c>
      <c r="I59" s="24">
        <v>1</v>
      </c>
      <c r="J59" s="24">
        <v>3</v>
      </c>
      <c r="K59" s="17"/>
      <c r="L59" s="17"/>
    </row>
    <row r="60" spans="2:12" ht="22.8">
      <c r="B60" s="23" t="s">
        <v>145</v>
      </c>
      <c r="C60" s="24" t="s">
        <v>146</v>
      </c>
      <c r="D60" s="24">
        <v>0.05</v>
      </c>
      <c r="E60" s="24">
        <v>0.04</v>
      </c>
      <c r="F60" s="24">
        <v>0.05</v>
      </c>
      <c r="G60" s="24">
        <v>0.05</v>
      </c>
      <c r="H60" s="24">
        <v>0.04</v>
      </c>
      <c r="I60" s="24">
        <v>0.04</v>
      </c>
      <c r="J60" s="24">
        <v>0.04</v>
      </c>
      <c r="K60" s="17"/>
      <c r="L60" s="17"/>
    </row>
    <row r="62" spans="2:12">
      <c r="B62" s="15" t="s">
        <v>149</v>
      </c>
    </row>
    <row r="63" spans="2:12" ht="22.8">
      <c r="B63" s="21"/>
      <c r="C63" s="22"/>
      <c r="D63" s="24" t="s">
        <v>120</v>
      </c>
      <c r="E63" s="24" t="s">
        <v>148</v>
      </c>
      <c r="F63" s="24" t="s">
        <v>123</v>
      </c>
      <c r="G63" s="24" t="s">
        <v>124</v>
      </c>
      <c r="H63" s="24" t="s">
        <v>125</v>
      </c>
      <c r="I63" s="24" t="s">
        <v>126</v>
      </c>
    </row>
    <row r="64" spans="2:12" ht="22.8">
      <c r="B64" s="23" t="s">
        <v>127</v>
      </c>
      <c r="C64" s="24" t="s">
        <v>128</v>
      </c>
      <c r="D64" s="24">
        <v>0.18</v>
      </c>
      <c r="E64" s="24"/>
      <c r="F64" s="24"/>
      <c r="G64" s="24"/>
      <c r="H64" s="24">
        <v>0.18</v>
      </c>
      <c r="I64" s="24">
        <v>0.18</v>
      </c>
    </row>
    <row r="65" spans="2:9">
      <c r="B65" s="23" t="s">
        <v>129</v>
      </c>
      <c r="C65" s="24" t="s">
        <v>130</v>
      </c>
      <c r="D65" s="24">
        <v>0.21</v>
      </c>
      <c r="E65" s="24"/>
      <c r="F65" s="24"/>
      <c r="G65" s="24"/>
      <c r="H65" s="24">
        <v>0.21</v>
      </c>
      <c r="I65" s="28">
        <v>0.21</v>
      </c>
    </row>
    <row r="66" spans="2:9" ht="22.8">
      <c r="B66" s="23" t="s">
        <v>131</v>
      </c>
      <c r="C66" s="24" t="s">
        <v>132</v>
      </c>
      <c r="D66" s="24">
        <v>0.13</v>
      </c>
      <c r="E66" s="24"/>
      <c r="F66" s="24"/>
      <c r="G66" s="24"/>
      <c r="H66" s="24">
        <v>0.15</v>
      </c>
      <c r="I66" s="24">
        <v>0.11</v>
      </c>
    </row>
    <row r="67" spans="2:9" ht="22.8">
      <c r="B67" s="23" t="s">
        <v>133</v>
      </c>
      <c r="C67" s="24" t="s">
        <v>134</v>
      </c>
      <c r="D67" s="24">
        <v>0.13</v>
      </c>
      <c r="E67" s="24"/>
      <c r="F67" s="24"/>
      <c r="G67" s="24"/>
      <c r="H67" s="24">
        <v>0.11</v>
      </c>
      <c r="I67" s="24">
        <v>0.11</v>
      </c>
    </row>
    <row r="68" spans="2:9" ht="22.8">
      <c r="B68" s="23" t="s">
        <v>136</v>
      </c>
      <c r="C68" s="24" t="s">
        <v>137</v>
      </c>
      <c r="D68" s="24">
        <v>1</v>
      </c>
      <c r="E68" s="24"/>
      <c r="F68" s="24"/>
      <c r="G68" s="24"/>
      <c r="H68" s="24">
        <v>1.4</v>
      </c>
      <c r="I68" s="24">
        <v>1.4</v>
      </c>
    </row>
    <row r="69" spans="2:9" ht="22.8">
      <c r="B69" s="23" t="s">
        <v>138</v>
      </c>
      <c r="C69" s="24" t="s">
        <v>137</v>
      </c>
      <c r="D69" s="24">
        <v>1.4</v>
      </c>
      <c r="E69" s="24"/>
      <c r="F69" s="24"/>
      <c r="G69" s="24"/>
      <c r="H69" s="24">
        <v>1.4</v>
      </c>
      <c r="I69" s="24">
        <v>1.4</v>
      </c>
    </row>
    <row r="70" spans="2:9">
      <c r="B70" s="23" t="s">
        <v>139</v>
      </c>
      <c r="C70" s="24" t="s">
        <v>140</v>
      </c>
      <c r="D70" s="24" t="s">
        <v>141</v>
      </c>
      <c r="E70" s="24"/>
      <c r="F70" s="24"/>
      <c r="G70" s="24"/>
      <c r="H70" s="24" t="s">
        <v>142</v>
      </c>
      <c r="I70" s="24" t="s">
        <v>142</v>
      </c>
    </row>
    <row r="71" spans="2:9" ht="22.8">
      <c r="B71" s="23" t="s">
        <v>143</v>
      </c>
      <c r="C71" s="24" t="s">
        <v>144</v>
      </c>
      <c r="D71" s="24">
        <v>5</v>
      </c>
      <c r="E71" s="24"/>
      <c r="F71" s="24"/>
      <c r="G71" s="24"/>
      <c r="H71" s="24">
        <v>4</v>
      </c>
      <c r="I71" s="24">
        <v>4</v>
      </c>
    </row>
    <row r="72" spans="2:9" ht="22.8">
      <c r="B72" s="23" t="s">
        <v>145</v>
      </c>
      <c r="C72" s="24" t="s">
        <v>146</v>
      </c>
      <c r="D72" s="24">
        <v>0.05</v>
      </c>
      <c r="E72" s="24"/>
      <c r="F72" s="24"/>
      <c r="G72" s="24"/>
      <c r="H72" s="24">
        <v>0.15</v>
      </c>
      <c r="I72" s="24">
        <v>0.06</v>
      </c>
    </row>
    <row r="74" spans="2:9">
      <c r="B74" s="15" t="s">
        <v>150</v>
      </c>
    </row>
    <row r="75" spans="2:9" ht="22.8">
      <c r="B75" s="21"/>
      <c r="C75" s="22"/>
      <c r="D75" s="24" t="s">
        <v>120</v>
      </c>
      <c r="E75" s="24" t="s">
        <v>148</v>
      </c>
      <c r="F75" s="24" t="s">
        <v>123</v>
      </c>
      <c r="G75" s="24" t="s">
        <v>124</v>
      </c>
      <c r="H75" s="24" t="s">
        <v>125</v>
      </c>
      <c r="I75" s="24" t="s">
        <v>126</v>
      </c>
    </row>
    <row r="76" spans="2:9" ht="22.8">
      <c r="B76" s="23" t="s">
        <v>127</v>
      </c>
      <c r="C76" s="24" t="s">
        <v>128</v>
      </c>
      <c r="D76" s="24">
        <v>0.18</v>
      </c>
      <c r="E76" s="24"/>
      <c r="F76" s="24"/>
      <c r="G76" s="24">
        <v>0.13</v>
      </c>
      <c r="H76" s="24">
        <v>0.18</v>
      </c>
      <c r="I76" s="24">
        <v>0.18</v>
      </c>
    </row>
    <row r="77" spans="2:9">
      <c r="B77" s="23" t="s">
        <v>129</v>
      </c>
      <c r="C77" s="24" t="s">
        <v>130</v>
      </c>
      <c r="D77" s="24">
        <v>0.13</v>
      </c>
      <c r="E77" s="24"/>
      <c r="F77" s="24"/>
      <c r="G77" s="24">
        <v>0.21</v>
      </c>
      <c r="H77" s="24">
        <v>0.21</v>
      </c>
      <c r="I77" s="54">
        <f>I76</f>
        <v>0.18</v>
      </c>
    </row>
    <row r="78" spans="2:9" ht="22.8">
      <c r="B78" s="23" t="s">
        <v>131</v>
      </c>
      <c r="C78" s="24" t="s">
        <v>132</v>
      </c>
      <c r="D78" s="24">
        <v>0.13</v>
      </c>
      <c r="E78" s="24"/>
      <c r="F78" s="24"/>
      <c r="G78" s="24">
        <v>0.11</v>
      </c>
      <c r="H78" s="24">
        <v>0.15</v>
      </c>
      <c r="I78" s="24">
        <v>0.11</v>
      </c>
    </row>
    <row r="79" spans="2:9" ht="22.8">
      <c r="B79" s="23" t="s">
        <v>133</v>
      </c>
      <c r="C79" s="24" t="s">
        <v>134</v>
      </c>
      <c r="D79" s="24">
        <v>0.13</v>
      </c>
      <c r="E79" s="24"/>
      <c r="F79" s="24"/>
      <c r="G79" s="24">
        <v>0.11</v>
      </c>
      <c r="H79" s="24">
        <v>0.11</v>
      </c>
      <c r="I79" s="24">
        <v>0.11</v>
      </c>
    </row>
    <row r="80" spans="2:9" ht="22.8">
      <c r="B80" s="23" t="s">
        <v>136</v>
      </c>
      <c r="C80" s="24" t="s">
        <v>137</v>
      </c>
      <c r="D80" s="24">
        <v>1</v>
      </c>
      <c r="E80" s="24"/>
      <c r="F80" s="24"/>
      <c r="G80" s="24">
        <v>1</v>
      </c>
      <c r="H80" s="24">
        <v>1.4</v>
      </c>
      <c r="I80" s="24">
        <v>1.4</v>
      </c>
    </row>
    <row r="81" spans="2:11" ht="22.8">
      <c r="B81" s="23" t="s">
        <v>138</v>
      </c>
      <c r="C81" s="24" t="s">
        <v>137</v>
      </c>
      <c r="D81" s="24">
        <v>1.4</v>
      </c>
      <c r="E81" s="24"/>
      <c r="F81" s="24"/>
      <c r="G81" s="24">
        <v>1.2</v>
      </c>
      <c r="H81" s="24">
        <v>1.2</v>
      </c>
      <c r="I81" s="24">
        <v>1.2</v>
      </c>
    </row>
    <row r="82" spans="2:11">
      <c r="B82" s="23" t="s">
        <v>139</v>
      </c>
      <c r="C82" s="24" t="s">
        <v>140</v>
      </c>
      <c r="D82" s="24" t="s">
        <v>141</v>
      </c>
      <c r="E82" s="24"/>
      <c r="F82" s="24"/>
      <c r="G82" s="24" t="s">
        <v>141</v>
      </c>
      <c r="H82" s="24" t="s">
        <v>142</v>
      </c>
    </row>
    <row r="83" spans="2:11" ht="22.8">
      <c r="B83" s="23" t="s">
        <v>143</v>
      </c>
      <c r="C83" s="24" t="s">
        <v>144</v>
      </c>
      <c r="D83" s="24">
        <v>5</v>
      </c>
      <c r="E83" s="24"/>
      <c r="F83" s="24"/>
      <c r="G83" s="24">
        <v>4</v>
      </c>
      <c r="H83" s="24">
        <v>5</v>
      </c>
      <c r="I83" s="24">
        <v>3</v>
      </c>
    </row>
    <row r="84" spans="2:11" ht="22.8">
      <c r="B84" s="23" t="s">
        <v>145</v>
      </c>
      <c r="C84" s="24" t="s">
        <v>146</v>
      </c>
      <c r="D84" s="24">
        <v>0.05</v>
      </c>
      <c r="E84" s="24"/>
      <c r="F84" s="24"/>
      <c r="G84" s="24">
        <v>7.0000000000000007E-2</v>
      </c>
      <c r="H84" s="24">
        <v>0.1</v>
      </c>
      <c r="I84" s="24">
        <v>0.1</v>
      </c>
    </row>
    <row r="85" spans="2:11">
      <c r="C85" s="17"/>
      <c r="D85" s="17"/>
      <c r="E85" s="17"/>
      <c r="F85" s="17"/>
      <c r="G85" s="17"/>
      <c r="H85" s="17"/>
      <c r="I85" s="17"/>
      <c r="J85" s="17"/>
      <c r="K85" s="17"/>
    </row>
    <row r="86" spans="2:11">
      <c r="B86" s="15" t="s">
        <v>151</v>
      </c>
      <c r="C86" s="17"/>
      <c r="D86" s="17"/>
      <c r="E86" s="17"/>
      <c r="F86" s="17"/>
      <c r="G86" s="17"/>
      <c r="H86" s="17"/>
      <c r="I86" s="17"/>
      <c r="J86" s="17"/>
      <c r="K86" s="17"/>
    </row>
    <row r="87" spans="2:11" ht="34.200000000000003">
      <c r="B87" s="29" t="s">
        <v>152</v>
      </c>
      <c r="C87" s="22"/>
      <c r="D87" s="24" t="s">
        <v>153</v>
      </c>
      <c r="E87" s="24" t="s">
        <v>154</v>
      </c>
      <c r="F87" s="24" t="s">
        <v>155</v>
      </c>
      <c r="G87" s="24" t="s">
        <v>156</v>
      </c>
    </row>
    <row r="88" spans="2:11">
      <c r="B88" s="23" t="s">
        <v>157</v>
      </c>
      <c r="C88" s="24" t="s">
        <v>158</v>
      </c>
      <c r="D88" s="24">
        <v>0.26</v>
      </c>
      <c r="E88" s="24">
        <v>0.26</v>
      </c>
      <c r="F88" s="24">
        <v>0.18</v>
      </c>
      <c r="G88" s="24">
        <v>0.15</v>
      </c>
    </row>
    <row r="89" spans="2:11" ht="34.200000000000003">
      <c r="B89" s="23" t="s">
        <v>159</v>
      </c>
      <c r="C89" s="24" t="s">
        <v>158</v>
      </c>
      <c r="D89" s="24">
        <v>0.22</v>
      </c>
      <c r="E89" s="24">
        <v>0.22</v>
      </c>
      <c r="F89" s="24">
        <v>0.15</v>
      </c>
      <c r="G89" s="24">
        <v>0.15</v>
      </c>
    </row>
    <row r="90" spans="2:11">
      <c r="B90" s="23" t="s">
        <v>160</v>
      </c>
      <c r="C90" s="24" t="s">
        <v>158</v>
      </c>
      <c r="D90" s="24">
        <v>0.18</v>
      </c>
      <c r="E90" s="24">
        <v>0.18</v>
      </c>
      <c r="F90" s="24">
        <v>0.15</v>
      </c>
      <c r="G90" s="24">
        <v>0.12</v>
      </c>
    </row>
    <row r="91" spans="2:11">
      <c r="B91" s="23" t="s">
        <v>138</v>
      </c>
      <c r="C91" s="24" t="s">
        <v>158</v>
      </c>
      <c r="D91" s="24">
        <v>1.6</v>
      </c>
      <c r="E91" s="24">
        <v>1.6</v>
      </c>
      <c r="F91" s="24">
        <v>1.4</v>
      </c>
      <c r="G91" s="24">
        <v>1.2</v>
      </c>
    </row>
    <row r="92" spans="2:11">
      <c r="B92" s="23" t="s">
        <v>161</v>
      </c>
      <c r="C92" s="24">
        <v>0.4</v>
      </c>
      <c r="D92" s="24">
        <v>0.4</v>
      </c>
      <c r="E92" s="24">
        <v>0.4</v>
      </c>
      <c r="F92" s="24">
        <v>0.4</v>
      </c>
      <c r="G92" s="22"/>
    </row>
    <row r="93" spans="2:11">
      <c r="B93" s="23" t="s">
        <v>139</v>
      </c>
      <c r="C93" s="24" t="s">
        <v>140</v>
      </c>
      <c r="D93" s="24" t="s">
        <v>141</v>
      </c>
      <c r="E93" s="24" t="s">
        <v>141</v>
      </c>
      <c r="F93" s="24" t="s">
        <v>141</v>
      </c>
      <c r="G93" s="24" t="s">
        <v>162</v>
      </c>
    </row>
    <row r="94" spans="2:11" ht="22.8">
      <c r="B94" s="23" t="s">
        <v>163</v>
      </c>
      <c r="C94" s="24" t="s">
        <v>164</v>
      </c>
      <c r="D94" s="24">
        <v>3</v>
      </c>
      <c r="E94" s="24">
        <v>3</v>
      </c>
      <c r="F94" s="24">
        <v>3</v>
      </c>
      <c r="G94" s="24">
        <v>3</v>
      </c>
    </row>
    <row r="95" spans="2:11" ht="34.200000000000003">
      <c r="B95" s="23" t="s">
        <v>165</v>
      </c>
      <c r="C95" s="24" t="s">
        <v>166</v>
      </c>
      <c r="D95" s="24">
        <v>65</v>
      </c>
      <c r="E95" s="24">
        <v>95</v>
      </c>
      <c r="F95" s="24">
        <v>95</v>
      </c>
      <c r="G95" s="24">
        <v>95</v>
      </c>
    </row>
    <row r="97" spans="2:7">
      <c r="B97" s="15" t="s">
        <v>167</v>
      </c>
      <c r="C97" s="17"/>
      <c r="D97" s="17"/>
      <c r="E97" s="17"/>
      <c r="F97" s="17"/>
      <c r="G97" s="17"/>
    </row>
    <row r="98" spans="2:7" ht="34.200000000000003">
      <c r="B98" s="29" t="s">
        <v>152</v>
      </c>
      <c r="C98" s="22"/>
      <c r="D98" s="24" t="s">
        <v>153</v>
      </c>
      <c r="E98" s="24" t="s">
        <v>154</v>
      </c>
      <c r="F98" s="24" t="s">
        <v>155</v>
      </c>
      <c r="G98" s="24" t="s">
        <v>156</v>
      </c>
    </row>
    <row r="99" spans="2:7">
      <c r="B99" s="23" t="s">
        <v>157</v>
      </c>
      <c r="C99" s="24" t="s">
        <v>158</v>
      </c>
      <c r="D99" s="24">
        <v>0.26</v>
      </c>
      <c r="E99" s="24">
        <v>0.26</v>
      </c>
      <c r="F99" s="24">
        <v>0.18</v>
      </c>
      <c r="G99" s="24">
        <v>0.15</v>
      </c>
    </row>
    <row r="100" spans="2:7" ht="34.200000000000003">
      <c r="B100" s="23" t="s">
        <v>159</v>
      </c>
      <c r="C100" s="24" t="s">
        <v>158</v>
      </c>
      <c r="D100" s="24">
        <v>0.22</v>
      </c>
      <c r="E100" s="24">
        <v>0.22</v>
      </c>
      <c r="F100" s="24">
        <v>0.22</v>
      </c>
      <c r="G100" s="24">
        <v>0.15</v>
      </c>
    </row>
    <row r="101" spans="2:7">
      <c r="B101" s="23" t="s">
        <v>160</v>
      </c>
      <c r="C101" s="24" t="s">
        <v>158</v>
      </c>
      <c r="D101" s="24">
        <v>0.18</v>
      </c>
      <c r="E101" s="24">
        <v>0.18</v>
      </c>
      <c r="F101" s="24">
        <v>0.18</v>
      </c>
      <c r="G101" s="24">
        <v>0.15</v>
      </c>
    </row>
    <row r="102" spans="2:7">
      <c r="B102" s="23" t="s">
        <v>138</v>
      </c>
      <c r="C102" s="24" t="s">
        <v>158</v>
      </c>
      <c r="D102" s="24">
        <v>1.6</v>
      </c>
      <c r="E102" s="24">
        <v>1.6</v>
      </c>
      <c r="F102" s="24">
        <v>1.4</v>
      </c>
      <c r="G102" s="24">
        <v>1</v>
      </c>
    </row>
    <row r="103" spans="2:7">
      <c r="B103" s="23" t="s">
        <v>161</v>
      </c>
      <c r="C103" s="24">
        <v>0.4</v>
      </c>
      <c r="D103" s="24">
        <v>0.4</v>
      </c>
      <c r="E103" s="24">
        <v>0.4</v>
      </c>
      <c r="F103" s="24">
        <v>0.4</v>
      </c>
      <c r="G103" s="22"/>
    </row>
    <row r="104" spans="2:7">
      <c r="B104" s="23" t="s">
        <v>139</v>
      </c>
      <c r="C104" s="24" t="s">
        <v>140</v>
      </c>
      <c r="D104" s="24" t="s">
        <v>168</v>
      </c>
      <c r="E104" s="24" t="s">
        <v>168</v>
      </c>
      <c r="F104" s="24" t="s">
        <v>168</v>
      </c>
      <c r="G104" s="24" t="s">
        <v>169</v>
      </c>
    </row>
    <row r="105" spans="2:7" ht="22.8">
      <c r="B105" s="23" t="s">
        <v>163</v>
      </c>
      <c r="C105" s="24" t="s">
        <v>164</v>
      </c>
      <c r="D105" s="24">
        <v>3</v>
      </c>
      <c r="E105" s="24">
        <v>3</v>
      </c>
      <c r="F105" s="24">
        <v>3</v>
      </c>
      <c r="G105" s="24">
        <v>3</v>
      </c>
    </row>
    <row r="106" spans="2:7" ht="34.200000000000003">
      <c r="B106" s="23" t="s">
        <v>165</v>
      </c>
      <c r="C106" s="24" t="s">
        <v>166</v>
      </c>
      <c r="D106" s="24">
        <v>65</v>
      </c>
      <c r="E106" s="24">
        <v>95</v>
      </c>
      <c r="F106" s="24">
        <v>95</v>
      </c>
      <c r="G106" s="24">
        <v>95</v>
      </c>
    </row>
    <row r="108" spans="2:7">
      <c r="B108" s="15" t="s">
        <v>170</v>
      </c>
    </row>
    <row r="109" spans="2:7" ht="72">
      <c r="B109" s="21"/>
      <c r="C109" s="13" t="s">
        <v>171</v>
      </c>
      <c r="D109" s="13" t="s">
        <v>172</v>
      </c>
      <c r="E109" s="13" t="s">
        <v>173</v>
      </c>
    </row>
    <row r="110" spans="2:7">
      <c r="B110" s="23" t="s">
        <v>174</v>
      </c>
      <c r="C110" s="22"/>
      <c r="D110" s="22"/>
      <c r="E110" s="22"/>
    </row>
    <row r="111" spans="2:7">
      <c r="B111" s="23" t="s">
        <v>175</v>
      </c>
      <c r="C111" s="24">
        <v>43.74</v>
      </c>
      <c r="D111" s="24">
        <v>18.82</v>
      </c>
      <c r="E111" s="24">
        <v>2.3199999999999998</v>
      </c>
    </row>
    <row r="112" spans="2:7">
      <c r="B112" s="23" t="s">
        <v>176</v>
      </c>
      <c r="C112" s="24">
        <v>34.840000000000003</v>
      </c>
      <c r="D112" s="24">
        <v>18.57</v>
      </c>
      <c r="E112" s="24">
        <v>1.88</v>
      </c>
    </row>
    <row r="113" spans="2:5">
      <c r="B113" s="23" t="s">
        <v>177</v>
      </c>
      <c r="C113" s="24">
        <v>34.68</v>
      </c>
      <c r="D113" s="24">
        <v>18.47</v>
      </c>
      <c r="E113" s="24">
        <v>1.88</v>
      </c>
    </row>
    <row r="114" spans="2:5">
      <c r="B114" s="23" t="s">
        <v>178</v>
      </c>
      <c r="C114" s="24">
        <v>29.52</v>
      </c>
      <c r="D114" s="24">
        <v>18.47</v>
      </c>
      <c r="E114" s="24">
        <v>1.6</v>
      </c>
    </row>
    <row r="115" spans="2:5">
      <c r="B115" s="23" t="s">
        <v>179</v>
      </c>
      <c r="C115" s="24">
        <v>24.71</v>
      </c>
      <c r="D115" s="24">
        <v>18.47</v>
      </c>
      <c r="E115" s="24">
        <v>1.34</v>
      </c>
    </row>
    <row r="116" spans="2:5">
      <c r="B116" s="23" t="s">
        <v>180</v>
      </c>
      <c r="C116" s="24">
        <v>19.73</v>
      </c>
      <c r="D116" s="24">
        <v>18.47</v>
      </c>
      <c r="E116" s="24">
        <v>1.07</v>
      </c>
    </row>
    <row r="117" spans="2:5">
      <c r="B117" s="23" t="s">
        <v>181</v>
      </c>
      <c r="C117" s="24">
        <v>14.85</v>
      </c>
      <c r="D117" s="24">
        <v>18.47</v>
      </c>
      <c r="E117" s="24">
        <v>0.8</v>
      </c>
    </row>
    <row r="118" spans="2:5">
      <c r="B118" s="23" t="s">
        <v>182</v>
      </c>
      <c r="C118" s="24">
        <v>43.97</v>
      </c>
      <c r="D118" s="24">
        <v>18.47</v>
      </c>
      <c r="E118" s="24">
        <v>2.38</v>
      </c>
    </row>
    <row r="119" spans="2:5">
      <c r="B119" s="23" t="s">
        <v>183</v>
      </c>
      <c r="C119" s="24">
        <v>34.93</v>
      </c>
      <c r="D119" s="24">
        <v>19.02</v>
      </c>
      <c r="E119" s="24">
        <v>1.84</v>
      </c>
    </row>
    <row r="120" spans="2:5">
      <c r="B120" s="23" t="s">
        <v>184</v>
      </c>
      <c r="C120" s="24">
        <v>31.39</v>
      </c>
      <c r="D120" s="24">
        <v>18.47</v>
      </c>
      <c r="E120" s="24">
        <v>1.7</v>
      </c>
    </row>
    <row r="121" spans="2:5">
      <c r="B121" s="23" t="s">
        <v>185</v>
      </c>
      <c r="C121" s="24">
        <v>27.14</v>
      </c>
      <c r="D121" s="24">
        <v>18.47</v>
      </c>
      <c r="E121" s="24">
        <v>1.47</v>
      </c>
    </row>
    <row r="122" spans="2:5">
      <c r="B122" s="23" t="s">
        <v>186</v>
      </c>
      <c r="C122" s="24">
        <v>24.8</v>
      </c>
      <c r="D122" s="24">
        <v>18.47</v>
      </c>
      <c r="E122" s="24">
        <v>1.34</v>
      </c>
    </row>
    <row r="123" spans="2:5">
      <c r="B123" s="23" t="s">
        <v>187</v>
      </c>
      <c r="C123" s="24">
        <v>19.809999999999999</v>
      </c>
      <c r="D123" s="24">
        <v>18.47</v>
      </c>
      <c r="E123" s="24">
        <v>1.07</v>
      </c>
    </row>
    <row r="124" spans="2:5">
      <c r="B124" s="23" t="s">
        <v>188</v>
      </c>
      <c r="C124" s="24">
        <v>14.93</v>
      </c>
      <c r="D124" s="24">
        <v>18.47</v>
      </c>
      <c r="E124" s="24">
        <v>0.81</v>
      </c>
    </row>
    <row r="125" spans="2:5">
      <c r="B125" s="23" t="s">
        <v>189</v>
      </c>
      <c r="C125" s="22"/>
      <c r="D125" s="22"/>
      <c r="E125" s="22"/>
    </row>
    <row r="126" spans="2:5">
      <c r="B126" s="23" t="s">
        <v>190</v>
      </c>
      <c r="C126" s="24">
        <v>36.89</v>
      </c>
      <c r="D126" s="24">
        <v>24.3</v>
      </c>
      <c r="E126" s="24">
        <v>1.52</v>
      </c>
    </row>
    <row r="127" spans="2:5">
      <c r="B127" s="23" t="s">
        <v>175</v>
      </c>
      <c r="C127" s="24">
        <v>40.159999999999997</v>
      </c>
      <c r="D127" s="24">
        <v>24.3</v>
      </c>
      <c r="E127" s="24">
        <v>1.65</v>
      </c>
    </row>
    <row r="128" spans="2:5">
      <c r="B128" s="23" t="s">
        <v>191</v>
      </c>
      <c r="C128" s="24">
        <v>44.57</v>
      </c>
      <c r="D128" s="24">
        <v>24.3</v>
      </c>
      <c r="E128" s="24">
        <v>1.83</v>
      </c>
    </row>
    <row r="129" spans="2:5">
      <c r="B129" s="23" t="s">
        <v>192</v>
      </c>
      <c r="C129" s="24">
        <v>34.75</v>
      </c>
      <c r="D129" s="24">
        <v>24.3</v>
      </c>
      <c r="E129" s="24">
        <v>1.43</v>
      </c>
    </row>
    <row r="130" spans="2:5">
      <c r="B130" s="23" t="s">
        <v>178</v>
      </c>
      <c r="C130" s="24">
        <v>29.35</v>
      </c>
      <c r="D130" s="24">
        <v>24.23</v>
      </c>
      <c r="E130" s="24">
        <v>1.21</v>
      </c>
    </row>
    <row r="131" spans="2:5">
      <c r="B131" s="23" t="s">
        <v>179</v>
      </c>
      <c r="C131" s="24">
        <v>24.24</v>
      </c>
      <c r="D131" s="24">
        <v>24.23</v>
      </c>
      <c r="E131" s="24">
        <v>1</v>
      </c>
    </row>
    <row r="132" spans="2:5">
      <c r="B132" s="23" t="s">
        <v>180</v>
      </c>
      <c r="C132" s="24">
        <v>18.89</v>
      </c>
      <c r="D132" s="24">
        <v>24.23</v>
      </c>
      <c r="E132" s="24">
        <v>0.78</v>
      </c>
    </row>
    <row r="133" spans="2:5">
      <c r="B133" s="23" t="s">
        <v>181</v>
      </c>
      <c r="C133" s="24">
        <v>14.57</v>
      </c>
      <c r="D133" s="24">
        <v>24.23</v>
      </c>
      <c r="E133" s="24">
        <v>0.6</v>
      </c>
    </row>
    <row r="134" spans="2:5">
      <c r="B134" s="23" t="s">
        <v>182</v>
      </c>
      <c r="C134" s="24">
        <v>38.64</v>
      </c>
      <c r="D134" s="24">
        <v>24.23</v>
      </c>
      <c r="E134" s="24">
        <v>1.59</v>
      </c>
    </row>
    <row r="135" spans="2:5">
      <c r="B135" s="23" t="s">
        <v>193</v>
      </c>
      <c r="C135" s="24">
        <v>34.75</v>
      </c>
      <c r="D135" s="24">
        <v>24.3</v>
      </c>
      <c r="E135" s="24">
        <v>1.43</v>
      </c>
    </row>
    <row r="136" spans="2:5">
      <c r="B136" s="23" t="s">
        <v>185</v>
      </c>
      <c r="C136" s="24">
        <v>29.48</v>
      </c>
      <c r="D136" s="24">
        <v>24.23</v>
      </c>
      <c r="E136" s="24">
        <v>1.22</v>
      </c>
    </row>
    <row r="137" spans="2:5">
      <c r="B137" s="23" t="s">
        <v>186</v>
      </c>
      <c r="C137" s="24">
        <v>24.36</v>
      </c>
      <c r="D137" s="24">
        <v>24.23</v>
      </c>
      <c r="E137" s="24">
        <v>1.01</v>
      </c>
    </row>
    <row r="138" spans="2:5">
      <c r="B138" s="23" t="s">
        <v>187</v>
      </c>
      <c r="C138" s="24">
        <v>19.010000000000002</v>
      </c>
      <c r="D138" s="24">
        <v>24.23</v>
      </c>
      <c r="E138" s="24">
        <v>0.78</v>
      </c>
    </row>
    <row r="139" spans="2:5">
      <c r="B139" s="23" t="s">
        <v>188</v>
      </c>
      <c r="C139" s="24">
        <v>14.68</v>
      </c>
      <c r="D139" s="24">
        <v>24.23</v>
      </c>
      <c r="E139" s="24">
        <v>0.61</v>
      </c>
    </row>
    <row r="140" spans="2:5">
      <c r="B140" s="23" t="s">
        <v>194</v>
      </c>
    </row>
    <row r="141" spans="2:5">
      <c r="B141" s="23" t="s">
        <v>190</v>
      </c>
      <c r="C141" s="24">
        <v>26.02</v>
      </c>
      <c r="D141" s="24">
        <v>32.31</v>
      </c>
      <c r="E141" s="24">
        <v>0.81</v>
      </c>
    </row>
    <row r="142" spans="2:5">
      <c r="B142" s="23" t="s">
        <v>175</v>
      </c>
      <c r="C142" s="24">
        <v>27.93</v>
      </c>
      <c r="D142" s="24">
        <v>32.31</v>
      </c>
      <c r="E142" s="24">
        <v>0.86</v>
      </c>
    </row>
    <row r="143" spans="2:5">
      <c r="B143" s="23" t="s">
        <v>191</v>
      </c>
      <c r="C143" s="24">
        <v>30.26</v>
      </c>
      <c r="D143" s="24">
        <v>32.31</v>
      </c>
      <c r="E143" s="24">
        <v>0.94</v>
      </c>
    </row>
    <row r="144" spans="2:5">
      <c r="B144" s="23" t="s">
        <v>180</v>
      </c>
      <c r="C144" s="24">
        <v>19.399999999999999</v>
      </c>
      <c r="D144" s="24">
        <v>35.18</v>
      </c>
      <c r="E144" s="24">
        <v>0.55000000000000004</v>
      </c>
    </row>
    <row r="145" spans="2:5">
      <c r="B145" s="23" t="s">
        <v>181</v>
      </c>
      <c r="C145" s="24">
        <v>14.7</v>
      </c>
      <c r="D145" s="24">
        <v>35.18</v>
      </c>
      <c r="E145" s="24">
        <v>0.42</v>
      </c>
    </row>
    <row r="146" spans="2:5">
      <c r="B146" s="23" t="s">
        <v>182</v>
      </c>
      <c r="C146" s="24">
        <v>27.93</v>
      </c>
      <c r="D146" s="24">
        <v>32.31</v>
      </c>
      <c r="E146" s="24">
        <v>0.86</v>
      </c>
    </row>
    <row r="147" spans="2:5">
      <c r="B147" s="23" t="s">
        <v>187</v>
      </c>
      <c r="C147" s="24">
        <v>19.399999999999999</v>
      </c>
      <c r="D147" s="24">
        <v>35.18</v>
      </c>
      <c r="E147" s="24">
        <v>0.55000000000000004</v>
      </c>
    </row>
    <row r="148" spans="2:5">
      <c r="B148" s="23" t="s">
        <v>188</v>
      </c>
      <c r="C148" s="24">
        <v>14.7</v>
      </c>
      <c r="D148" s="24">
        <v>35.18</v>
      </c>
      <c r="E148" s="24">
        <v>0.42</v>
      </c>
    </row>
    <row r="149" spans="2:5">
      <c r="B149" s="23" t="s">
        <v>195</v>
      </c>
    </row>
    <row r="150" spans="2:5">
      <c r="B150" s="23" t="s">
        <v>190</v>
      </c>
      <c r="C150" s="24">
        <v>33.15</v>
      </c>
      <c r="D150" s="24">
        <v>27.16</v>
      </c>
      <c r="E150" s="24">
        <v>1.22</v>
      </c>
    </row>
    <row r="151" spans="2:5">
      <c r="B151" s="23" t="s">
        <v>175</v>
      </c>
      <c r="C151" s="24">
        <v>32.89</v>
      </c>
      <c r="D151" s="24">
        <v>27.16</v>
      </c>
      <c r="E151" s="24">
        <v>1.21</v>
      </c>
    </row>
    <row r="152" spans="2:5">
      <c r="B152" s="23" t="s">
        <v>191</v>
      </c>
      <c r="C152" s="24">
        <v>37.200000000000003</v>
      </c>
      <c r="D152" s="24">
        <v>27.16</v>
      </c>
      <c r="E152" s="24">
        <v>1.37</v>
      </c>
    </row>
    <row r="153" spans="2:5">
      <c r="B153" s="23" t="s">
        <v>180</v>
      </c>
      <c r="C153" s="24">
        <v>19.16</v>
      </c>
      <c r="D153" s="24">
        <v>27.62</v>
      </c>
      <c r="E153" s="24">
        <v>0.69</v>
      </c>
    </row>
    <row r="154" spans="2:5">
      <c r="B154" s="23" t="s">
        <v>181</v>
      </c>
      <c r="C154" s="24">
        <v>14.75</v>
      </c>
      <c r="D154" s="24">
        <v>27.62</v>
      </c>
      <c r="E154" s="24">
        <v>0.53</v>
      </c>
    </row>
    <row r="155" spans="2:5">
      <c r="B155" s="23" t="s">
        <v>182</v>
      </c>
      <c r="C155" s="24">
        <v>32.08</v>
      </c>
      <c r="D155" s="24">
        <v>27.62</v>
      </c>
      <c r="E155" s="24">
        <v>1.1599999999999999</v>
      </c>
    </row>
    <row r="156" spans="2:5">
      <c r="B156" s="23" t="s">
        <v>187</v>
      </c>
      <c r="C156" s="24">
        <v>19.29</v>
      </c>
      <c r="D156" s="24">
        <v>27.62</v>
      </c>
      <c r="E156" s="24">
        <v>0.7</v>
      </c>
    </row>
    <row r="157" spans="2:5">
      <c r="B157" s="23" t="s">
        <v>188</v>
      </c>
      <c r="C157" s="24">
        <v>14.88</v>
      </c>
      <c r="D157" s="24">
        <v>27.62</v>
      </c>
      <c r="E157" s="24">
        <v>0.54</v>
      </c>
    </row>
    <row r="158" spans="2:5">
      <c r="B158" s="23" t="s">
        <v>196</v>
      </c>
    </row>
    <row r="159" spans="2:5">
      <c r="B159" s="23" t="s">
        <v>197</v>
      </c>
      <c r="C159" s="24">
        <v>15.87</v>
      </c>
      <c r="D159" s="24">
        <v>2.5299999999999998</v>
      </c>
      <c r="E159" s="24">
        <v>6.27</v>
      </c>
    </row>
    <row r="160" spans="2:5">
      <c r="B160" s="23" t="s">
        <v>198</v>
      </c>
      <c r="C160" s="24">
        <v>17.940000000000001</v>
      </c>
      <c r="D160" s="24">
        <v>2.64</v>
      </c>
      <c r="E160" s="24">
        <v>6.79</v>
      </c>
    </row>
    <row r="161" spans="2:5">
      <c r="B161" s="23" t="s">
        <v>199</v>
      </c>
      <c r="C161" s="24">
        <v>14.29</v>
      </c>
      <c r="D161" s="24">
        <v>2.64</v>
      </c>
      <c r="E161" s="24">
        <v>5.41</v>
      </c>
    </row>
    <row r="162" spans="2:5">
      <c r="B162" s="23" t="s">
        <v>200</v>
      </c>
      <c r="C162" s="24">
        <v>12.49</v>
      </c>
      <c r="D162" s="24">
        <v>2.64</v>
      </c>
      <c r="E162" s="24">
        <v>4.7300000000000004</v>
      </c>
    </row>
    <row r="163" spans="2:5">
      <c r="B163" s="23" t="s">
        <v>201</v>
      </c>
      <c r="C163" s="24">
        <v>16.579999999999998</v>
      </c>
      <c r="D163" s="24">
        <v>2.64</v>
      </c>
      <c r="E163" s="24">
        <v>6.29</v>
      </c>
    </row>
    <row r="164" spans="2:5">
      <c r="B164" s="23" t="s">
        <v>202</v>
      </c>
      <c r="C164" s="24">
        <v>18.739999999999998</v>
      </c>
      <c r="D164" s="24">
        <v>2.64</v>
      </c>
      <c r="E164" s="24">
        <v>7.11</v>
      </c>
    </row>
    <row r="165" spans="2:5">
      <c r="B165" s="23" t="s">
        <v>203</v>
      </c>
      <c r="C165" s="24">
        <v>14.93</v>
      </c>
      <c r="D165" s="24">
        <v>2.64</v>
      </c>
      <c r="E165" s="24">
        <v>5.66</v>
      </c>
    </row>
    <row r="166" spans="2:5">
      <c r="B166" s="23" t="s">
        <v>204</v>
      </c>
      <c r="C166" s="24">
        <v>12.19</v>
      </c>
      <c r="D166" s="24">
        <v>2.64</v>
      </c>
      <c r="E166" s="24">
        <v>4.62</v>
      </c>
    </row>
    <row r="167" spans="2:5">
      <c r="B167" s="23" t="s">
        <v>205</v>
      </c>
    </row>
    <row r="168" spans="2:5">
      <c r="B168" s="23" t="s">
        <v>197</v>
      </c>
      <c r="C168" s="24">
        <v>3.01</v>
      </c>
      <c r="D168" s="24">
        <v>2.48</v>
      </c>
      <c r="E168" s="24">
        <v>1.21</v>
      </c>
    </row>
    <row r="169" spans="2:5">
      <c r="B169" s="23" t="s">
        <v>198</v>
      </c>
      <c r="C169" s="24">
        <v>3.82</v>
      </c>
      <c r="D169" s="24">
        <v>2.56</v>
      </c>
      <c r="E169" s="24">
        <v>1.49</v>
      </c>
    </row>
    <row r="170" spans="2:5">
      <c r="B170" s="23" t="s">
        <v>199</v>
      </c>
      <c r="C170" s="24">
        <v>2.7</v>
      </c>
      <c r="D170" s="24">
        <v>2.56</v>
      </c>
      <c r="E170" s="24">
        <v>1.06</v>
      </c>
    </row>
    <row r="171" spans="2:5">
      <c r="B171" s="23" t="s">
        <v>200</v>
      </c>
      <c r="C171" s="24">
        <v>0.93</v>
      </c>
      <c r="D171" s="24">
        <v>2.57</v>
      </c>
      <c r="E171" s="24">
        <v>0.36</v>
      </c>
    </row>
    <row r="172" spans="2:5">
      <c r="B172" s="23" t="s">
        <v>201</v>
      </c>
      <c r="C172" s="24">
        <v>3.09</v>
      </c>
      <c r="D172" s="24">
        <v>2.56</v>
      </c>
      <c r="E172" s="24">
        <v>1.21</v>
      </c>
    </row>
    <row r="173" spans="2:5">
      <c r="B173" s="23" t="s">
        <v>202</v>
      </c>
      <c r="C173" s="24">
        <v>3.8</v>
      </c>
      <c r="D173" s="24">
        <v>2.56</v>
      </c>
      <c r="E173" s="24">
        <v>1.48</v>
      </c>
    </row>
    <row r="174" spans="2:5">
      <c r="B174" s="23" t="s">
        <v>203</v>
      </c>
      <c r="C174" s="24">
        <v>2.69</v>
      </c>
      <c r="D174" s="24">
        <v>2.56</v>
      </c>
      <c r="E174" s="24">
        <v>1.05</v>
      </c>
    </row>
    <row r="175" spans="2:5">
      <c r="B175" s="23" t="s">
        <v>204</v>
      </c>
      <c r="C175" s="24">
        <v>0.85</v>
      </c>
      <c r="D175" s="24">
        <v>2.56</v>
      </c>
      <c r="E175" s="24">
        <v>0.33</v>
      </c>
    </row>
    <row r="177" spans="2:17">
      <c r="B177" s="15" t="s">
        <v>206</v>
      </c>
    </row>
    <row r="178" spans="2:17" ht="43.2">
      <c r="B178" s="23" t="s">
        <v>207</v>
      </c>
      <c r="C178" s="24" t="s">
        <v>208</v>
      </c>
      <c r="D178" s="24" t="s">
        <v>209</v>
      </c>
      <c r="E178" s="24" t="s">
        <v>210</v>
      </c>
      <c r="F178" s="24" t="s">
        <v>211</v>
      </c>
      <c r="H178" s="13" t="s">
        <v>212</v>
      </c>
      <c r="I178" s="13" t="s">
        <v>17</v>
      </c>
      <c r="J178" s="13" t="s">
        <v>90</v>
      </c>
      <c r="K178" s="13" t="s">
        <v>91</v>
      </c>
      <c r="L178" s="13" t="s">
        <v>92</v>
      </c>
      <c r="M178" s="13" t="s">
        <v>93</v>
      </c>
      <c r="N178" s="13" t="s">
        <v>94</v>
      </c>
      <c r="O178" s="13" t="s">
        <v>95</v>
      </c>
      <c r="P178" s="13" t="s">
        <v>96</v>
      </c>
    </row>
    <row r="179" spans="2:17" ht="22.8">
      <c r="B179" s="49" t="s">
        <v>213</v>
      </c>
      <c r="C179" s="22"/>
      <c r="D179" s="22"/>
      <c r="E179" s="22"/>
      <c r="F179" s="22"/>
      <c r="H179" s="30"/>
    </row>
    <row r="180" spans="2:17">
      <c r="B180" s="23" t="s">
        <v>214</v>
      </c>
      <c r="C180" s="24">
        <v>0.21</v>
      </c>
      <c r="D180" s="24" t="s">
        <v>215</v>
      </c>
      <c r="E180" s="24">
        <v>219</v>
      </c>
      <c r="F180" s="22"/>
      <c r="H180" s="31">
        <f>E180-$E$181</f>
        <v>-2</v>
      </c>
      <c r="I180" s="31">
        <f>$H180*C$8</f>
        <v>-312.60000000000002</v>
      </c>
      <c r="J180" s="31">
        <f t="shared" ref="J180:P186" si="3">$H180*D$8</f>
        <v>-187.6</v>
      </c>
      <c r="K180" s="31">
        <f t="shared" si="3"/>
        <v>-36</v>
      </c>
      <c r="L180" s="31">
        <f t="shared" si="3"/>
        <v>-36</v>
      </c>
      <c r="M180" s="31">
        <f t="shared" si="3"/>
        <v>-36</v>
      </c>
      <c r="N180" s="31">
        <f t="shared" si="3"/>
        <v>-82.6</v>
      </c>
      <c r="O180" s="31">
        <f t="shared" si="3"/>
        <v>-82.6</v>
      </c>
      <c r="P180" s="31">
        <f t="shared" si="3"/>
        <v>-82.6</v>
      </c>
      <c r="Q180" s="16"/>
    </row>
    <row r="181" spans="2:17">
      <c r="B181" s="23" t="s">
        <v>214</v>
      </c>
      <c r="C181" s="24">
        <v>0.18</v>
      </c>
      <c r="D181" s="24" t="s">
        <v>215</v>
      </c>
      <c r="E181" s="24">
        <v>221</v>
      </c>
      <c r="F181" s="24" t="s">
        <v>216</v>
      </c>
      <c r="H181" s="31">
        <f t="shared" ref="H181:H186" si="4">E181-$E$181</f>
        <v>0</v>
      </c>
      <c r="I181" s="31">
        <f t="shared" ref="I181:I186" si="5">$H181*C$8</f>
        <v>0</v>
      </c>
      <c r="J181" s="31">
        <f t="shared" si="3"/>
        <v>0</v>
      </c>
      <c r="K181" s="31">
        <f t="shared" si="3"/>
        <v>0</v>
      </c>
      <c r="L181" s="31">
        <f t="shared" si="3"/>
        <v>0</v>
      </c>
      <c r="M181" s="31">
        <f t="shared" si="3"/>
        <v>0</v>
      </c>
      <c r="N181" s="31">
        <f t="shared" si="3"/>
        <v>0</v>
      </c>
      <c r="O181" s="31">
        <f t="shared" si="3"/>
        <v>0</v>
      </c>
      <c r="P181" s="31">
        <f t="shared" si="3"/>
        <v>0</v>
      </c>
    </row>
    <row r="182" spans="2:17">
      <c r="B182" s="23" t="s">
        <v>214</v>
      </c>
      <c r="C182" s="24">
        <v>0.17</v>
      </c>
      <c r="D182" s="24" t="s">
        <v>215</v>
      </c>
      <c r="E182" s="24">
        <v>221</v>
      </c>
      <c r="F182" s="24">
        <v>97</v>
      </c>
      <c r="H182" s="31">
        <f t="shared" si="4"/>
        <v>0</v>
      </c>
      <c r="I182" s="31">
        <f t="shared" si="5"/>
        <v>0</v>
      </c>
      <c r="J182" s="31">
        <f t="shared" si="3"/>
        <v>0</v>
      </c>
      <c r="K182" s="31">
        <f t="shared" si="3"/>
        <v>0</v>
      </c>
      <c r="L182" s="31">
        <f t="shared" si="3"/>
        <v>0</v>
      </c>
      <c r="M182" s="31">
        <f t="shared" si="3"/>
        <v>0</v>
      </c>
      <c r="N182" s="31">
        <f t="shared" si="3"/>
        <v>0</v>
      </c>
      <c r="O182" s="31">
        <f t="shared" si="3"/>
        <v>0</v>
      </c>
      <c r="P182" s="31">
        <f t="shared" si="3"/>
        <v>0</v>
      </c>
    </row>
    <row r="183" spans="2:17">
      <c r="B183" s="23" t="s">
        <v>214</v>
      </c>
      <c r="C183" s="24">
        <v>0.16</v>
      </c>
      <c r="D183" s="24" t="s">
        <v>215</v>
      </c>
      <c r="E183" s="24">
        <v>221</v>
      </c>
      <c r="F183" s="24">
        <v>98</v>
      </c>
      <c r="H183" s="31">
        <f t="shared" si="4"/>
        <v>0</v>
      </c>
      <c r="I183" s="31">
        <f t="shared" si="5"/>
        <v>0</v>
      </c>
      <c r="J183" s="31">
        <f t="shared" si="3"/>
        <v>0</v>
      </c>
      <c r="K183" s="31">
        <f t="shared" si="3"/>
        <v>0</v>
      </c>
      <c r="L183" s="31">
        <f t="shared" si="3"/>
        <v>0</v>
      </c>
      <c r="M183" s="31">
        <f t="shared" si="3"/>
        <v>0</v>
      </c>
      <c r="N183" s="31">
        <f t="shared" si="3"/>
        <v>0</v>
      </c>
      <c r="O183" s="31">
        <f t="shared" si="3"/>
        <v>0</v>
      </c>
      <c r="P183" s="31">
        <f t="shared" si="3"/>
        <v>0</v>
      </c>
    </row>
    <row r="184" spans="2:17">
      <c r="B184" s="23" t="s">
        <v>214</v>
      </c>
      <c r="C184" s="24">
        <v>0.15</v>
      </c>
      <c r="D184" s="24" t="s">
        <v>215</v>
      </c>
      <c r="E184" s="24">
        <v>224</v>
      </c>
      <c r="F184" s="24">
        <v>100</v>
      </c>
      <c r="H184" s="31">
        <f t="shared" si="4"/>
        <v>3</v>
      </c>
      <c r="I184" s="31">
        <f t="shared" si="5"/>
        <v>468.90000000000003</v>
      </c>
      <c r="J184" s="31">
        <f t="shared" si="3"/>
        <v>281.39999999999998</v>
      </c>
      <c r="K184" s="31">
        <f t="shared" si="3"/>
        <v>54</v>
      </c>
      <c r="L184" s="31">
        <f t="shared" si="3"/>
        <v>54</v>
      </c>
      <c r="M184" s="31">
        <f t="shared" si="3"/>
        <v>54</v>
      </c>
      <c r="N184" s="31">
        <f t="shared" si="3"/>
        <v>123.89999999999999</v>
      </c>
      <c r="O184" s="31">
        <f t="shared" si="3"/>
        <v>123.89999999999999</v>
      </c>
      <c r="P184" s="31">
        <f t="shared" si="3"/>
        <v>123.89999999999999</v>
      </c>
    </row>
    <row r="185" spans="2:17">
      <c r="B185" s="23" t="s">
        <v>214</v>
      </c>
      <c r="C185" s="24">
        <v>0.14000000000000001</v>
      </c>
      <c r="D185" s="24" t="s">
        <v>215</v>
      </c>
      <c r="E185" s="24">
        <v>225</v>
      </c>
      <c r="F185" s="24">
        <v>102</v>
      </c>
      <c r="H185" s="31">
        <f t="shared" si="4"/>
        <v>4</v>
      </c>
      <c r="I185" s="31">
        <f t="shared" si="5"/>
        <v>625.20000000000005</v>
      </c>
      <c r="J185" s="31">
        <f t="shared" si="3"/>
        <v>375.2</v>
      </c>
      <c r="K185" s="31">
        <f t="shared" si="3"/>
        <v>72</v>
      </c>
      <c r="L185" s="31">
        <f t="shared" si="3"/>
        <v>72</v>
      </c>
      <c r="M185" s="31">
        <f t="shared" si="3"/>
        <v>72</v>
      </c>
      <c r="N185" s="31">
        <f t="shared" si="3"/>
        <v>165.2</v>
      </c>
      <c r="O185" s="31">
        <f t="shared" si="3"/>
        <v>165.2</v>
      </c>
      <c r="P185" s="31">
        <f t="shared" si="3"/>
        <v>165.2</v>
      </c>
    </row>
    <row r="186" spans="2:17">
      <c r="B186" s="23" t="s">
        <v>214</v>
      </c>
      <c r="C186" s="24">
        <v>0.13</v>
      </c>
      <c r="D186" s="24" t="s">
        <v>215</v>
      </c>
      <c r="E186" s="24">
        <v>230</v>
      </c>
      <c r="F186" s="24">
        <v>107</v>
      </c>
      <c r="H186" s="31">
        <f t="shared" si="4"/>
        <v>9</v>
      </c>
      <c r="I186" s="31">
        <f t="shared" si="5"/>
        <v>1406.7</v>
      </c>
      <c r="J186" s="31">
        <f t="shared" si="3"/>
        <v>844.19999999999993</v>
      </c>
      <c r="K186" s="31">
        <f t="shared" si="3"/>
        <v>162</v>
      </c>
      <c r="L186" s="31">
        <f t="shared" si="3"/>
        <v>162</v>
      </c>
      <c r="M186" s="31">
        <f t="shared" si="3"/>
        <v>162</v>
      </c>
      <c r="N186" s="31">
        <f t="shared" si="3"/>
        <v>371.7</v>
      </c>
      <c r="O186" s="31">
        <f t="shared" si="3"/>
        <v>371.7</v>
      </c>
      <c r="P186" s="31">
        <f t="shared" si="3"/>
        <v>371.7</v>
      </c>
    </row>
    <row r="187" spans="2:17">
      <c r="B187" s="49" t="s">
        <v>217</v>
      </c>
      <c r="C187" s="22"/>
      <c r="D187" s="22"/>
      <c r="E187" s="22"/>
      <c r="F187" s="22"/>
      <c r="H187" s="31"/>
      <c r="I187" s="31"/>
      <c r="J187" s="31"/>
      <c r="K187" s="31"/>
      <c r="L187" s="31"/>
      <c r="M187" s="31"/>
      <c r="N187" s="31"/>
      <c r="O187" s="31"/>
      <c r="P187" s="32"/>
    </row>
    <row r="188" spans="2:17">
      <c r="B188" s="23" t="s">
        <v>218</v>
      </c>
      <c r="C188" s="24">
        <v>0.21</v>
      </c>
      <c r="D188" s="24" t="s">
        <v>215</v>
      </c>
      <c r="E188" s="24">
        <v>146</v>
      </c>
      <c r="F188" s="22"/>
      <c r="H188" s="31">
        <f>E188-$E$189</f>
        <v>-2</v>
      </c>
      <c r="I188" s="31">
        <f>$H188*C$9</f>
        <v>0</v>
      </c>
      <c r="J188" s="31">
        <f t="shared" ref="J188:P194" si="6">$H188*D$9</f>
        <v>0</v>
      </c>
      <c r="K188" s="31">
        <f t="shared" si="6"/>
        <v>-48</v>
      </c>
      <c r="L188" s="31">
        <f t="shared" si="6"/>
        <v>-48</v>
      </c>
      <c r="M188" s="31">
        <f t="shared" si="6"/>
        <v>-48</v>
      </c>
      <c r="N188" s="31">
        <f t="shared" si="6"/>
        <v>-24.2</v>
      </c>
      <c r="O188" s="31">
        <f t="shared" si="6"/>
        <v>-24.2</v>
      </c>
      <c r="P188" s="31">
        <f t="shared" si="6"/>
        <v>-24.2</v>
      </c>
    </row>
    <row r="189" spans="2:17">
      <c r="B189" s="23" t="s">
        <v>218</v>
      </c>
      <c r="C189" s="24">
        <v>0.18</v>
      </c>
      <c r="D189" s="24" t="s">
        <v>215</v>
      </c>
      <c r="E189" s="24">
        <v>148</v>
      </c>
      <c r="F189" s="22"/>
      <c r="H189" s="31">
        <f t="shared" ref="H189:H194" si="7">E189-$E$189</f>
        <v>0</v>
      </c>
      <c r="I189" s="31">
        <f t="shared" ref="I189:I194" si="8">$H189*C$9</f>
        <v>0</v>
      </c>
      <c r="J189" s="31">
        <f t="shared" si="6"/>
        <v>0</v>
      </c>
      <c r="K189" s="31">
        <f t="shared" si="6"/>
        <v>0</v>
      </c>
      <c r="L189" s="31">
        <f t="shared" si="6"/>
        <v>0</v>
      </c>
      <c r="M189" s="31">
        <f t="shared" si="6"/>
        <v>0</v>
      </c>
      <c r="N189" s="31">
        <f t="shared" si="6"/>
        <v>0</v>
      </c>
      <c r="O189" s="31">
        <f t="shared" si="6"/>
        <v>0</v>
      </c>
      <c r="P189" s="31">
        <f t="shared" si="6"/>
        <v>0</v>
      </c>
    </row>
    <row r="190" spans="2:17">
      <c r="B190" s="23" t="s">
        <v>218</v>
      </c>
      <c r="C190" s="24">
        <v>0.16</v>
      </c>
      <c r="D190" s="24" t="s">
        <v>215</v>
      </c>
      <c r="E190" s="24">
        <v>148</v>
      </c>
      <c r="F190" s="22"/>
      <c r="H190" s="31">
        <f t="shared" si="7"/>
        <v>0</v>
      </c>
      <c r="I190" s="31">
        <f t="shared" si="8"/>
        <v>0</v>
      </c>
      <c r="J190" s="31">
        <f t="shared" si="6"/>
        <v>0</v>
      </c>
      <c r="K190" s="31">
        <f t="shared" si="6"/>
        <v>0</v>
      </c>
      <c r="L190" s="31">
        <f t="shared" si="6"/>
        <v>0</v>
      </c>
      <c r="M190" s="31">
        <f t="shared" si="6"/>
        <v>0</v>
      </c>
      <c r="N190" s="31">
        <f t="shared" si="6"/>
        <v>0</v>
      </c>
      <c r="O190" s="31">
        <f t="shared" si="6"/>
        <v>0</v>
      </c>
      <c r="P190" s="31">
        <f t="shared" si="6"/>
        <v>0</v>
      </c>
    </row>
    <row r="191" spans="2:17">
      <c r="B191" s="23" t="s">
        <v>218</v>
      </c>
      <c r="C191" s="24">
        <v>0.15</v>
      </c>
      <c r="D191" s="24" t="s">
        <v>215</v>
      </c>
      <c r="E191" s="24">
        <v>151</v>
      </c>
      <c r="F191" s="22"/>
      <c r="H191" s="31">
        <f t="shared" si="7"/>
        <v>3</v>
      </c>
      <c r="I191" s="31">
        <f t="shared" si="8"/>
        <v>0</v>
      </c>
      <c r="J191" s="31">
        <f t="shared" si="6"/>
        <v>0</v>
      </c>
      <c r="K191" s="31">
        <f t="shared" si="6"/>
        <v>72</v>
      </c>
      <c r="L191" s="31">
        <f t="shared" si="6"/>
        <v>72</v>
      </c>
      <c r="M191" s="31">
        <f t="shared" si="6"/>
        <v>72</v>
      </c>
      <c r="N191" s="31">
        <f t="shared" si="6"/>
        <v>36.299999999999997</v>
      </c>
      <c r="O191" s="31">
        <f t="shared" si="6"/>
        <v>36.299999999999997</v>
      </c>
      <c r="P191" s="31">
        <f t="shared" si="6"/>
        <v>36.299999999999997</v>
      </c>
    </row>
    <row r="192" spans="2:17">
      <c r="B192" s="23" t="s">
        <v>218</v>
      </c>
      <c r="C192" s="24">
        <v>0.14000000000000001</v>
      </c>
      <c r="D192" s="24" t="s">
        <v>215</v>
      </c>
      <c r="E192" s="24">
        <v>152</v>
      </c>
      <c r="F192" s="22"/>
      <c r="H192" s="31">
        <f t="shared" si="7"/>
        <v>4</v>
      </c>
      <c r="I192" s="31">
        <f t="shared" si="8"/>
        <v>0</v>
      </c>
      <c r="J192" s="31">
        <f t="shared" si="6"/>
        <v>0</v>
      </c>
      <c r="K192" s="31">
        <f t="shared" si="6"/>
        <v>96</v>
      </c>
      <c r="L192" s="31">
        <f t="shared" si="6"/>
        <v>96</v>
      </c>
      <c r="M192" s="31">
        <f t="shared" si="6"/>
        <v>96</v>
      </c>
      <c r="N192" s="31">
        <f t="shared" si="6"/>
        <v>48.4</v>
      </c>
      <c r="O192" s="31">
        <f t="shared" si="6"/>
        <v>48.4</v>
      </c>
      <c r="P192" s="31">
        <f t="shared" si="6"/>
        <v>48.4</v>
      </c>
    </row>
    <row r="193" spans="2:16">
      <c r="B193" s="23" t="s">
        <v>218</v>
      </c>
      <c r="C193" s="24">
        <v>0.13</v>
      </c>
      <c r="D193" s="24" t="s">
        <v>215</v>
      </c>
      <c r="E193" s="24">
        <v>157</v>
      </c>
      <c r="F193" s="22"/>
      <c r="H193" s="31">
        <f t="shared" si="7"/>
        <v>9</v>
      </c>
      <c r="I193" s="31">
        <f t="shared" si="8"/>
        <v>0</v>
      </c>
      <c r="J193" s="31">
        <f t="shared" si="6"/>
        <v>0</v>
      </c>
      <c r="K193" s="31">
        <f t="shared" si="6"/>
        <v>216</v>
      </c>
      <c r="L193" s="31">
        <f t="shared" si="6"/>
        <v>216</v>
      </c>
      <c r="M193" s="31">
        <f t="shared" si="6"/>
        <v>216</v>
      </c>
      <c r="N193" s="31">
        <f t="shared" si="6"/>
        <v>108.89999999999999</v>
      </c>
      <c r="O193" s="31">
        <f t="shared" si="6"/>
        <v>108.89999999999999</v>
      </c>
      <c r="P193" s="31">
        <f t="shared" si="6"/>
        <v>108.89999999999999</v>
      </c>
    </row>
    <row r="194" spans="2:16">
      <c r="B194" s="23" t="s">
        <v>218</v>
      </c>
      <c r="C194" s="24">
        <v>0.12</v>
      </c>
      <c r="D194" s="24" t="s">
        <v>215</v>
      </c>
      <c r="E194" s="24">
        <v>158</v>
      </c>
      <c r="F194" s="22"/>
      <c r="H194" s="31">
        <f t="shared" si="7"/>
        <v>10</v>
      </c>
      <c r="I194" s="31">
        <f t="shared" si="8"/>
        <v>0</v>
      </c>
      <c r="J194" s="31">
        <f t="shared" si="6"/>
        <v>0</v>
      </c>
      <c r="K194" s="31">
        <f t="shared" si="6"/>
        <v>240</v>
      </c>
      <c r="L194" s="31">
        <f t="shared" si="6"/>
        <v>240</v>
      </c>
      <c r="M194" s="31">
        <f t="shared" si="6"/>
        <v>240</v>
      </c>
      <c r="N194" s="31">
        <f t="shared" si="6"/>
        <v>121</v>
      </c>
      <c r="O194" s="31">
        <f t="shared" si="6"/>
        <v>121</v>
      </c>
      <c r="P194" s="31">
        <f t="shared" si="6"/>
        <v>121</v>
      </c>
    </row>
    <row r="195" spans="2:16">
      <c r="B195" s="49" t="s">
        <v>219</v>
      </c>
      <c r="C195" s="22"/>
      <c r="D195" s="22"/>
      <c r="E195" s="22"/>
      <c r="F195" s="22"/>
      <c r="H195" s="31"/>
      <c r="I195" s="31"/>
      <c r="J195" s="31"/>
      <c r="K195" s="31"/>
      <c r="L195" s="31"/>
      <c r="M195" s="31"/>
      <c r="N195" s="31"/>
      <c r="O195" s="31"/>
      <c r="P195" s="32"/>
    </row>
    <row r="196" spans="2:16">
      <c r="B196" s="23" t="s">
        <v>220</v>
      </c>
      <c r="C196" s="24">
        <v>0.18</v>
      </c>
      <c r="D196" s="24" t="s">
        <v>215</v>
      </c>
      <c r="E196" s="24">
        <v>140</v>
      </c>
      <c r="F196" s="22"/>
      <c r="H196" s="31">
        <f>E196-$E$200</f>
        <v>-12</v>
      </c>
      <c r="I196" s="31">
        <f>$H196*C$12</f>
        <v>-706.8</v>
      </c>
      <c r="J196" s="31">
        <f t="shared" ref="J196:P202" si="9">$H196*D$12</f>
        <v>-511.20000000000005</v>
      </c>
      <c r="K196" s="31">
        <f t="shared" si="9"/>
        <v>-600</v>
      </c>
      <c r="L196" s="31">
        <f t="shared" si="9"/>
        <v>0</v>
      </c>
      <c r="M196" s="31">
        <f t="shared" si="9"/>
        <v>0</v>
      </c>
      <c r="N196" s="31">
        <f t="shared" si="9"/>
        <v>-841.19999999999993</v>
      </c>
      <c r="O196" s="31">
        <f t="shared" si="9"/>
        <v>0</v>
      </c>
      <c r="P196" s="31">
        <f t="shared" si="9"/>
        <v>0</v>
      </c>
    </row>
    <row r="197" spans="2:16">
      <c r="B197" s="23" t="s">
        <v>220</v>
      </c>
      <c r="C197" s="24">
        <v>0.16</v>
      </c>
      <c r="D197" s="24" t="s">
        <v>215</v>
      </c>
      <c r="E197" s="24">
        <v>143</v>
      </c>
      <c r="F197" s="22"/>
      <c r="H197" s="31">
        <f t="shared" ref="H197:H202" si="10">E197-$E$200</f>
        <v>-9</v>
      </c>
      <c r="I197" s="31">
        <f t="shared" ref="I197:I202" si="11">$H197*C$12</f>
        <v>-530.1</v>
      </c>
      <c r="J197" s="31">
        <f t="shared" si="9"/>
        <v>-383.40000000000003</v>
      </c>
      <c r="K197" s="31">
        <f t="shared" si="9"/>
        <v>-450</v>
      </c>
      <c r="L197" s="31">
        <f t="shared" si="9"/>
        <v>0</v>
      </c>
      <c r="M197" s="31">
        <f t="shared" si="9"/>
        <v>0</v>
      </c>
      <c r="N197" s="31">
        <f t="shared" si="9"/>
        <v>-630.9</v>
      </c>
      <c r="O197" s="31">
        <f t="shared" si="9"/>
        <v>0</v>
      </c>
      <c r="P197" s="31">
        <f t="shared" si="9"/>
        <v>0</v>
      </c>
    </row>
    <row r="198" spans="2:16">
      <c r="B198" s="23" t="s">
        <v>220</v>
      </c>
      <c r="C198" s="24">
        <v>0.15</v>
      </c>
      <c r="D198" s="24" t="s">
        <v>215</v>
      </c>
      <c r="E198" s="24">
        <v>146</v>
      </c>
      <c r="F198" s="22"/>
      <c r="H198" s="31">
        <f t="shared" si="10"/>
        <v>-6</v>
      </c>
      <c r="I198" s="31">
        <f t="shared" si="11"/>
        <v>-353.4</v>
      </c>
      <c r="J198" s="31">
        <f t="shared" si="9"/>
        <v>-255.60000000000002</v>
      </c>
      <c r="K198" s="31">
        <f t="shared" si="9"/>
        <v>-300</v>
      </c>
      <c r="L198" s="31">
        <f t="shared" si="9"/>
        <v>0</v>
      </c>
      <c r="M198" s="31">
        <f t="shared" si="9"/>
        <v>0</v>
      </c>
      <c r="N198" s="31">
        <f t="shared" si="9"/>
        <v>-420.59999999999997</v>
      </c>
      <c r="O198" s="31">
        <f t="shared" si="9"/>
        <v>0</v>
      </c>
      <c r="P198" s="31">
        <f t="shared" si="9"/>
        <v>0</v>
      </c>
    </row>
    <row r="199" spans="2:16">
      <c r="B199" s="23" t="s">
        <v>220</v>
      </c>
      <c r="C199" s="24">
        <v>0.14000000000000001</v>
      </c>
      <c r="D199" s="24" t="s">
        <v>215</v>
      </c>
      <c r="E199" s="24">
        <v>149</v>
      </c>
      <c r="F199" s="22"/>
      <c r="H199" s="31">
        <f t="shared" si="10"/>
        <v>-3</v>
      </c>
      <c r="I199" s="31">
        <f t="shared" si="11"/>
        <v>-176.7</v>
      </c>
      <c r="J199" s="31">
        <f t="shared" si="9"/>
        <v>-127.80000000000001</v>
      </c>
      <c r="K199" s="31">
        <f t="shared" si="9"/>
        <v>-150</v>
      </c>
      <c r="L199" s="31">
        <f t="shared" si="9"/>
        <v>0</v>
      </c>
      <c r="M199" s="31">
        <f t="shared" si="9"/>
        <v>0</v>
      </c>
      <c r="N199" s="31">
        <f t="shared" si="9"/>
        <v>-210.29999999999998</v>
      </c>
      <c r="O199" s="31">
        <f t="shared" si="9"/>
        <v>0</v>
      </c>
      <c r="P199" s="31">
        <f t="shared" si="9"/>
        <v>0</v>
      </c>
    </row>
    <row r="200" spans="2:16">
      <c r="B200" s="23" t="s">
        <v>220</v>
      </c>
      <c r="C200" s="24">
        <v>0.13</v>
      </c>
      <c r="D200" s="24" t="s">
        <v>215</v>
      </c>
      <c r="E200" s="24">
        <v>152</v>
      </c>
      <c r="F200" s="22"/>
      <c r="H200" s="31">
        <f t="shared" si="10"/>
        <v>0</v>
      </c>
      <c r="I200" s="31">
        <f t="shared" si="11"/>
        <v>0</v>
      </c>
      <c r="J200" s="31">
        <f t="shared" si="9"/>
        <v>0</v>
      </c>
      <c r="K200" s="31">
        <f t="shared" si="9"/>
        <v>0</v>
      </c>
      <c r="L200" s="31">
        <f t="shared" si="9"/>
        <v>0</v>
      </c>
      <c r="M200" s="31">
        <f t="shared" si="9"/>
        <v>0</v>
      </c>
      <c r="N200" s="31">
        <f t="shared" si="9"/>
        <v>0</v>
      </c>
      <c r="O200" s="31">
        <f t="shared" si="9"/>
        <v>0</v>
      </c>
      <c r="P200" s="31">
        <f t="shared" si="9"/>
        <v>0</v>
      </c>
    </row>
    <row r="201" spans="2:16">
      <c r="B201" s="23" t="s">
        <v>220</v>
      </c>
      <c r="C201" s="24">
        <v>0.12</v>
      </c>
      <c r="D201" s="24" t="s">
        <v>215</v>
      </c>
      <c r="E201" s="24">
        <v>154</v>
      </c>
      <c r="F201" s="22"/>
      <c r="H201" s="31">
        <f t="shared" si="10"/>
        <v>2</v>
      </c>
      <c r="I201" s="31">
        <f t="shared" si="11"/>
        <v>117.8</v>
      </c>
      <c r="J201" s="31">
        <f t="shared" si="9"/>
        <v>85.2</v>
      </c>
      <c r="K201" s="31">
        <f t="shared" si="9"/>
        <v>100</v>
      </c>
      <c r="L201" s="31">
        <f t="shared" si="9"/>
        <v>0</v>
      </c>
      <c r="M201" s="31">
        <f t="shared" si="9"/>
        <v>0</v>
      </c>
      <c r="N201" s="31">
        <f t="shared" si="9"/>
        <v>140.19999999999999</v>
      </c>
      <c r="O201" s="31">
        <f t="shared" si="9"/>
        <v>0</v>
      </c>
      <c r="P201" s="31">
        <f t="shared" si="9"/>
        <v>0</v>
      </c>
    </row>
    <row r="202" spans="2:16">
      <c r="B202" s="23" t="s">
        <v>220</v>
      </c>
      <c r="C202" s="24">
        <v>0.11</v>
      </c>
      <c r="D202" s="24" t="s">
        <v>215</v>
      </c>
      <c r="E202" s="24">
        <v>157</v>
      </c>
      <c r="F202" s="22"/>
      <c r="H202" s="31">
        <f t="shared" si="10"/>
        <v>5</v>
      </c>
      <c r="I202" s="31">
        <f t="shared" si="11"/>
        <v>294.5</v>
      </c>
      <c r="J202" s="31">
        <f t="shared" si="9"/>
        <v>213</v>
      </c>
      <c r="K202" s="31">
        <f t="shared" si="9"/>
        <v>250</v>
      </c>
      <c r="L202" s="31">
        <f t="shared" si="9"/>
        <v>0</v>
      </c>
      <c r="M202" s="31">
        <f t="shared" si="9"/>
        <v>0</v>
      </c>
      <c r="N202" s="31">
        <f t="shared" si="9"/>
        <v>350.5</v>
      </c>
      <c r="O202" s="31">
        <f t="shared" si="9"/>
        <v>0</v>
      </c>
      <c r="P202" s="31">
        <f t="shared" si="9"/>
        <v>0</v>
      </c>
    </row>
    <row r="203" spans="2:16">
      <c r="B203" s="49" t="s">
        <v>221</v>
      </c>
      <c r="C203" s="22"/>
      <c r="D203" s="22"/>
      <c r="E203" s="22"/>
      <c r="F203" s="22"/>
      <c r="H203" s="31"/>
      <c r="I203" s="31"/>
      <c r="J203" s="31"/>
      <c r="K203" s="31"/>
      <c r="L203" s="31"/>
      <c r="M203" s="31"/>
      <c r="N203" s="31"/>
      <c r="O203" s="31"/>
      <c r="P203" s="32"/>
    </row>
    <row r="204" spans="2:16">
      <c r="B204" s="23" t="s">
        <v>222</v>
      </c>
      <c r="C204" s="24">
        <v>0.18</v>
      </c>
      <c r="D204" s="24" t="s">
        <v>215</v>
      </c>
      <c r="E204" s="24">
        <v>175</v>
      </c>
      <c r="F204" s="22"/>
      <c r="H204" s="31">
        <f>E204-$E$208</f>
        <v>-10</v>
      </c>
      <c r="I204" s="31">
        <f>$H204*C$10</f>
        <v>-581</v>
      </c>
      <c r="J204" s="31">
        <f t="shared" ref="J204:P210" si="12">$H204*D$10</f>
        <v>-418</v>
      </c>
      <c r="K204" s="31">
        <f t="shared" si="12"/>
        <v>0</v>
      </c>
      <c r="L204" s="31">
        <f t="shared" si="12"/>
        <v>0</v>
      </c>
      <c r="M204" s="31">
        <f t="shared" si="12"/>
        <v>-500</v>
      </c>
      <c r="N204" s="31">
        <f t="shared" si="12"/>
        <v>0</v>
      </c>
      <c r="O204" s="31">
        <f t="shared" si="12"/>
        <v>0</v>
      </c>
      <c r="P204" s="31">
        <f t="shared" si="12"/>
        <v>-701</v>
      </c>
    </row>
    <row r="205" spans="2:16">
      <c r="B205" s="23" t="s">
        <v>222</v>
      </c>
      <c r="C205" s="24">
        <v>0.16</v>
      </c>
      <c r="D205" s="24" t="s">
        <v>215</v>
      </c>
      <c r="E205" s="24">
        <v>176</v>
      </c>
      <c r="F205" s="22"/>
      <c r="H205" s="31">
        <f t="shared" ref="H205:H210" si="13">E205-$E$208</f>
        <v>-9</v>
      </c>
      <c r="I205" s="31">
        <f t="shared" ref="I205:I210" si="14">$H205*C$10</f>
        <v>-522.9</v>
      </c>
      <c r="J205" s="31">
        <f t="shared" si="12"/>
        <v>-376.2</v>
      </c>
      <c r="K205" s="31">
        <f t="shared" si="12"/>
        <v>0</v>
      </c>
      <c r="L205" s="31">
        <f t="shared" si="12"/>
        <v>0</v>
      </c>
      <c r="M205" s="31">
        <f t="shared" si="12"/>
        <v>-450</v>
      </c>
      <c r="N205" s="31">
        <f t="shared" si="12"/>
        <v>0</v>
      </c>
      <c r="O205" s="31">
        <f t="shared" si="12"/>
        <v>0</v>
      </c>
      <c r="P205" s="31">
        <f t="shared" si="12"/>
        <v>-630.9</v>
      </c>
    </row>
    <row r="206" spans="2:16">
      <c r="B206" s="23" t="s">
        <v>222</v>
      </c>
      <c r="C206" s="24">
        <v>0.15</v>
      </c>
      <c r="D206" s="24" t="s">
        <v>215</v>
      </c>
      <c r="E206" s="24">
        <v>185</v>
      </c>
      <c r="F206" s="22"/>
      <c r="H206" s="31">
        <f t="shared" si="13"/>
        <v>0</v>
      </c>
      <c r="I206" s="31">
        <f t="shared" si="14"/>
        <v>0</v>
      </c>
      <c r="J206" s="31">
        <f t="shared" si="12"/>
        <v>0</v>
      </c>
      <c r="K206" s="31">
        <f t="shared" si="12"/>
        <v>0</v>
      </c>
      <c r="L206" s="31">
        <f t="shared" si="12"/>
        <v>0</v>
      </c>
      <c r="M206" s="31">
        <f t="shared" si="12"/>
        <v>0</v>
      </c>
      <c r="N206" s="31">
        <f t="shared" si="12"/>
        <v>0</v>
      </c>
      <c r="O206" s="31">
        <f t="shared" si="12"/>
        <v>0</v>
      </c>
      <c r="P206" s="31">
        <f t="shared" si="12"/>
        <v>0</v>
      </c>
    </row>
    <row r="207" spans="2:16">
      <c r="B207" s="23" t="s">
        <v>222</v>
      </c>
      <c r="C207" s="24">
        <v>0.14000000000000001</v>
      </c>
      <c r="D207" s="24" t="s">
        <v>215</v>
      </c>
      <c r="E207" s="24">
        <v>185</v>
      </c>
      <c r="F207" s="22"/>
      <c r="H207" s="31">
        <f t="shared" si="13"/>
        <v>0</v>
      </c>
      <c r="I207" s="31">
        <f t="shared" si="14"/>
        <v>0</v>
      </c>
      <c r="J207" s="31">
        <f t="shared" si="12"/>
        <v>0</v>
      </c>
      <c r="K207" s="31">
        <f t="shared" si="12"/>
        <v>0</v>
      </c>
      <c r="L207" s="31">
        <f t="shared" si="12"/>
        <v>0</v>
      </c>
      <c r="M207" s="31">
        <f t="shared" si="12"/>
        <v>0</v>
      </c>
      <c r="N207" s="31">
        <f t="shared" si="12"/>
        <v>0</v>
      </c>
      <c r="O207" s="31">
        <f t="shared" si="12"/>
        <v>0</v>
      </c>
      <c r="P207" s="31">
        <f t="shared" si="12"/>
        <v>0</v>
      </c>
    </row>
    <row r="208" spans="2:16">
      <c r="B208" s="23" t="s">
        <v>222</v>
      </c>
      <c r="C208" s="24">
        <v>0.13</v>
      </c>
      <c r="D208" s="24" t="s">
        <v>215</v>
      </c>
      <c r="E208" s="24">
        <v>185</v>
      </c>
      <c r="F208" s="24" t="s">
        <v>216</v>
      </c>
      <c r="H208" s="31">
        <f t="shared" si="13"/>
        <v>0</v>
      </c>
      <c r="I208" s="31">
        <f t="shared" si="14"/>
        <v>0</v>
      </c>
      <c r="J208" s="31">
        <f t="shared" si="12"/>
        <v>0</v>
      </c>
      <c r="K208" s="31">
        <f t="shared" si="12"/>
        <v>0</v>
      </c>
      <c r="L208" s="31">
        <f t="shared" si="12"/>
        <v>0</v>
      </c>
      <c r="M208" s="31">
        <f t="shared" si="12"/>
        <v>0</v>
      </c>
      <c r="N208" s="31">
        <f t="shared" si="12"/>
        <v>0</v>
      </c>
      <c r="O208" s="31">
        <f t="shared" si="12"/>
        <v>0</v>
      </c>
      <c r="P208" s="31">
        <f t="shared" si="12"/>
        <v>0</v>
      </c>
    </row>
    <row r="209" spans="2:17">
      <c r="B209" s="23" t="s">
        <v>222</v>
      </c>
      <c r="C209" s="24">
        <v>0.12</v>
      </c>
      <c r="D209" s="24" t="s">
        <v>215</v>
      </c>
      <c r="E209" s="24">
        <v>186</v>
      </c>
      <c r="F209" s="24">
        <v>15</v>
      </c>
      <c r="H209" s="31">
        <f t="shared" si="13"/>
        <v>1</v>
      </c>
      <c r="I209" s="31">
        <f t="shared" si="14"/>
        <v>58.1</v>
      </c>
      <c r="J209" s="31">
        <f t="shared" si="12"/>
        <v>41.8</v>
      </c>
      <c r="K209" s="31">
        <f t="shared" si="12"/>
        <v>0</v>
      </c>
      <c r="L209" s="31">
        <f t="shared" si="12"/>
        <v>0</v>
      </c>
      <c r="M209" s="31">
        <f t="shared" si="12"/>
        <v>50</v>
      </c>
      <c r="N209" s="31">
        <f t="shared" si="12"/>
        <v>0</v>
      </c>
      <c r="O209" s="31">
        <f t="shared" si="12"/>
        <v>0</v>
      </c>
      <c r="P209" s="31">
        <f t="shared" si="12"/>
        <v>70.099999999999994</v>
      </c>
    </row>
    <row r="210" spans="2:17">
      <c r="B210" s="23" t="s">
        <v>222</v>
      </c>
      <c r="C210" s="24">
        <v>0.11</v>
      </c>
      <c r="D210" s="24" t="s">
        <v>215</v>
      </c>
      <c r="E210" s="24">
        <v>187</v>
      </c>
      <c r="F210" s="24">
        <v>15</v>
      </c>
      <c r="H210" s="31">
        <f t="shared" si="13"/>
        <v>2</v>
      </c>
      <c r="I210" s="31">
        <f t="shared" si="14"/>
        <v>116.2</v>
      </c>
      <c r="J210" s="31">
        <f t="shared" si="12"/>
        <v>83.6</v>
      </c>
      <c r="K210" s="31">
        <f t="shared" si="12"/>
        <v>0</v>
      </c>
      <c r="L210" s="31">
        <f t="shared" si="12"/>
        <v>0</v>
      </c>
      <c r="M210" s="31">
        <f t="shared" si="12"/>
        <v>100</v>
      </c>
      <c r="N210" s="31">
        <f t="shared" si="12"/>
        <v>0</v>
      </c>
      <c r="O210" s="31">
        <f t="shared" si="12"/>
        <v>0</v>
      </c>
      <c r="P210" s="31">
        <f t="shared" si="12"/>
        <v>140.19999999999999</v>
      </c>
    </row>
    <row r="211" spans="2:17">
      <c r="B211" s="49" t="s">
        <v>223</v>
      </c>
      <c r="C211" s="22"/>
      <c r="D211" s="22"/>
      <c r="E211" s="22"/>
      <c r="F211" s="22"/>
      <c r="H211" s="31"/>
      <c r="I211" s="31"/>
      <c r="J211" s="31"/>
      <c r="K211" s="31"/>
      <c r="L211" s="31"/>
      <c r="M211" s="31"/>
      <c r="N211" s="31"/>
      <c r="O211" s="31"/>
      <c r="P211" s="32"/>
    </row>
    <row r="212" spans="2:17">
      <c r="B212" s="23" t="s">
        <v>136</v>
      </c>
      <c r="C212" s="24">
        <v>1.4</v>
      </c>
      <c r="D212" s="24" t="s">
        <v>215</v>
      </c>
      <c r="E212" s="24">
        <v>240</v>
      </c>
      <c r="F212" s="24" t="s">
        <v>216</v>
      </c>
      <c r="H212" s="31">
        <f>E212-$E$215</f>
        <v>-90</v>
      </c>
      <c r="I212" s="31">
        <f>$H212*C$15</f>
        <v>-189</v>
      </c>
      <c r="J212" s="31">
        <f t="shared" ref="J212:P216" si="15">$H212*D$15</f>
        <v>-189</v>
      </c>
      <c r="K212" s="31">
        <f t="shared" si="15"/>
        <v>-189</v>
      </c>
      <c r="L212" s="31">
        <f t="shared" si="15"/>
        <v>-189</v>
      </c>
      <c r="M212" s="31">
        <f t="shared" si="15"/>
        <v>-189</v>
      </c>
      <c r="N212" s="31">
        <f t="shared" si="15"/>
        <v>-189</v>
      </c>
      <c r="O212" s="31">
        <f t="shared" si="15"/>
        <v>-189</v>
      </c>
      <c r="P212" s="31">
        <f t="shared" si="15"/>
        <v>-189</v>
      </c>
    </row>
    <row r="213" spans="2:17">
      <c r="B213" s="23" t="s">
        <v>136</v>
      </c>
      <c r="C213" s="24">
        <v>1.2</v>
      </c>
      <c r="D213" s="24" t="s">
        <v>215</v>
      </c>
      <c r="E213" s="24">
        <v>270</v>
      </c>
      <c r="F213" s="24">
        <v>763</v>
      </c>
      <c r="H213" s="31">
        <f t="shared" ref="H213:H216" si="16">E213-$E$215</f>
        <v>-60</v>
      </c>
      <c r="I213" s="31">
        <f t="shared" ref="I213:I216" si="17">$H213*C$15</f>
        <v>-126</v>
      </c>
      <c r="J213" s="31">
        <f t="shared" si="15"/>
        <v>-126</v>
      </c>
      <c r="K213" s="31">
        <f t="shared" si="15"/>
        <v>-126</v>
      </c>
      <c r="L213" s="31">
        <f t="shared" si="15"/>
        <v>-126</v>
      </c>
      <c r="M213" s="31">
        <f t="shared" si="15"/>
        <v>-126</v>
      </c>
      <c r="N213" s="31">
        <f t="shared" si="15"/>
        <v>-126</v>
      </c>
      <c r="O213" s="31">
        <f t="shared" si="15"/>
        <v>-126</v>
      </c>
      <c r="P213" s="31">
        <f t="shared" si="15"/>
        <v>-126</v>
      </c>
    </row>
    <row r="214" spans="2:17">
      <c r="B214" s="23" t="s">
        <v>136</v>
      </c>
      <c r="C214" s="24">
        <v>1.1000000000000001</v>
      </c>
      <c r="D214" s="24" t="s">
        <v>215</v>
      </c>
      <c r="E214" s="24">
        <v>300</v>
      </c>
      <c r="F214" s="22"/>
      <c r="H214" s="31">
        <f t="shared" si="16"/>
        <v>-30</v>
      </c>
      <c r="I214" s="31">
        <f t="shared" si="17"/>
        <v>-63</v>
      </c>
      <c r="J214" s="31">
        <f t="shared" si="15"/>
        <v>-63</v>
      </c>
      <c r="K214" s="31">
        <f t="shared" si="15"/>
        <v>-63</v>
      </c>
      <c r="L214" s="31">
        <f t="shared" si="15"/>
        <v>-63</v>
      </c>
      <c r="M214" s="31">
        <f t="shared" si="15"/>
        <v>-63</v>
      </c>
      <c r="N214" s="31">
        <f t="shared" si="15"/>
        <v>-63</v>
      </c>
      <c r="O214" s="31">
        <f t="shared" si="15"/>
        <v>-63</v>
      </c>
      <c r="P214" s="31">
        <f t="shared" si="15"/>
        <v>-63</v>
      </c>
    </row>
    <row r="215" spans="2:17">
      <c r="B215" s="23" t="s">
        <v>136</v>
      </c>
      <c r="C215" s="24">
        <v>1</v>
      </c>
      <c r="D215" s="24" t="s">
        <v>215</v>
      </c>
      <c r="E215" s="24">
        <v>330</v>
      </c>
      <c r="F215" s="22"/>
      <c r="H215" s="31">
        <f t="shared" si="16"/>
        <v>0</v>
      </c>
      <c r="I215" s="31">
        <f t="shared" si="17"/>
        <v>0</v>
      </c>
      <c r="J215" s="31">
        <f t="shared" si="15"/>
        <v>0</v>
      </c>
      <c r="K215" s="31">
        <f t="shared" si="15"/>
        <v>0</v>
      </c>
      <c r="L215" s="31">
        <f t="shared" si="15"/>
        <v>0</v>
      </c>
      <c r="M215" s="31">
        <f t="shared" si="15"/>
        <v>0</v>
      </c>
      <c r="N215" s="31">
        <f t="shared" si="15"/>
        <v>0</v>
      </c>
      <c r="O215" s="31">
        <f t="shared" si="15"/>
        <v>0</v>
      </c>
      <c r="P215" s="31">
        <f t="shared" si="15"/>
        <v>0</v>
      </c>
    </row>
    <row r="216" spans="2:17">
      <c r="B216" s="23" t="s">
        <v>136</v>
      </c>
      <c r="C216" s="24">
        <v>0.8</v>
      </c>
      <c r="D216" s="24" t="s">
        <v>215</v>
      </c>
      <c r="E216" s="24">
        <v>390</v>
      </c>
      <c r="F216" s="24">
        <v>908</v>
      </c>
      <c r="H216" s="31">
        <f t="shared" si="16"/>
        <v>60</v>
      </c>
      <c r="I216" s="31">
        <f t="shared" si="17"/>
        <v>126</v>
      </c>
      <c r="J216" s="31">
        <f t="shared" si="15"/>
        <v>126</v>
      </c>
      <c r="K216" s="31">
        <f t="shared" si="15"/>
        <v>126</v>
      </c>
      <c r="L216" s="31">
        <f t="shared" si="15"/>
        <v>126</v>
      </c>
      <c r="M216" s="31">
        <f t="shared" si="15"/>
        <v>126</v>
      </c>
      <c r="N216" s="31">
        <f t="shared" si="15"/>
        <v>126</v>
      </c>
      <c r="O216" s="31">
        <f t="shared" si="15"/>
        <v>126</v>
      </c>
      <c r="P216" s="31">
        <f t="shared" si="15"/>
        <v>126</v>
      </c>
    </row>
    <row r="217" spans="2:17">
      <c r="B217" s="49" t="s">
        <v>224</v>
      </c>
      <c r="C217" s="22"/>
      <c r="D217" s="22"/>
      <c r="E217" s="22"/>
      <c r="F217" s="22"/>
      <c r="H217" s="31"/>
      <c r="I217" s="31"/>
      <c r="J217" s="31"/>
      <c r="K217" s="31"/>
      <c r="L217" s="31"/>
      <c r="M217" s="31"/>
      <c r="N217" s="31"/>
      <c r="O217" s="31"/>
      <c r="P217" s="32"/>
    </row>
    <row r="218" spans="2:17">
      <c r="B218" s="23" t="s">
        <v>138</v>
      </c>
      <c r="C218" s="24">
        <v>1.4</v>
      </c>
      <c r="D218" s="24" t="s">
        <v>215</v>
      </c>
      <c r="E218" s="47">
        <v>265</v>
      </c>
      <c r="F218" s="24" t="s">
        <v>216</v>
      </c>
      <c r="H218" s="31">
        <f>E216-$E$218</f>
        <v>125</v>
      </c>
      <c r="I218" s="31">
        <f>$H218*C$14</f>
        <v>3275</v>
      </c>
      <c r="J218" s="31">
        <f t="shared" ref="J218:P222" si="18">$H218*D$14</f>
        <v>1825</v>
      </c>
      <c r="K218" s="31">
        <f t="shared" si="18"/>
        <v>1225</v>
      </c>
      <c r="L218" s="31">
        <f t="shared" si="18"/>
        <v>1225</v>
      </c>
      <c r="M218" s="31">
        <f t="shared" si="18"/>
        <v>1225</v>
      </c>
      <c r="N218" s="31">
        <f t="shared" si="18"/>
        <v>1725</v>
      </c>
      <c r="O218" s="31">
        <f t="shared" si="18"/>
        <v>1725</v>
      </c>
      <c r="P218" s="31">
        <f t="shared" si="18"/>
        <v>1725</v>
      </c>
    </row>
    <row r="219" spans="2:17">
      <c r="B219" s="23" t="s">
        <v>138</v>
      </c>
      <c r="C219" s="24">
        <v>1.3</v>
      </c>
      <c r="D219" s="24" t="s">
        <v>215</v>
      </c>
      <c r="E219" s="24">
        <v>270</v>
      </c>
      <c r="F219" s="22"/>
      <c r="H219" s="31">
        <f>E217-$E$218</f>
        <v>-265</v>
      </c>
      <c r="I219" s="31">
        <f t="shared" ref="I219:I222" si="19">$H219*C$14</f>
        <v>-6943</v>
      </c>
      <c r="J219" s="31">
        <f t="shared" si="18"/>
        <v>-3869</v>
      </c>
      <c r="K219" s="31">
        <f t="shared" si="18"/>
        <v>-2597</v>
      </c>
      <c r="L219" s="31">
        <f t="shared" si="18"/>
        <v>-2597</v>
      </c>
      <c r="M219" s="31">
        <f t="shared" si="18"/>
        <v>-2597</v>
      </c>
      <c r="N219" s="31">
        <f t="shared" si="18"/>
        <v>-3657</v>
      </c>
      <c r="O219" s="31">
        <f t="shared" si="18"/>
        <v>-3657</v>
      </c>
      <c r="P219" s="31">
        <f t="shared" si="18"/>
        <v>-3657</v>
      </c>
    </row>
    <row r="220" spans="2:17">
      <c r="B220" s="23" t="s">
        <v>138</v>
      </c>
      <c r="C220" s="24">
        <v>1.2</v>
      </c>
      <c r="D220" s="24" t="s">
        <v>215</v>
      </c>
      <c r="E220" s="24">
        <v>300</v>
      </c>
      <c r="F220" s="24">
        <v>346</v>
      </c>
      <c r="H220" s="31">
        <f>E218-$E$218</f>
        <v>0</v>
      </c>
      <c r="I220" s="31">
        <f t="shared" si="19"/>
        <v>0</v>
      </c>
      <c r="J220" s="31">
        <f t="shared" si="18"/>
        <v>0</v>
      </c>
      <c r="K220" s="31">
        <f t="shared" si="18"/>
        <v>0</v>
      </c>
      <c r="L220" s="31">
        <f t="shared" si="18"/>
        <v>0</v>
      </c>
      <c r="M220" s="31">
        <f t="shared" si="18"/>
        <v>0</v>
      </c>
      <c r="N220" s="31">
        <f t="shared" si="18"/>
        <v>0</v>
      </c>
      <c r="O220" s="31">
        <f t="shared" si="18"/>
        <v>0</v>
      </c>
      <c r="P220" s="31">
        <f t="shared" si="18"/>
        <v>0</v>
      </c>
      <c r="Q220" s="17" t="s">
        <v>225</v>
      </c>
    </row>
    <row r="221" spans="2:17">
      <c r="B221" s="23" t="s">
        <v>138</v>
      </c>
      <c r="C221" s="24">
        <v>1</v>
      </c>
      <c r="D221" s="24" t="s">
        <v>215</v>
      </c>
      <c r="E221" s="24">
        <v>330</v>
      </c>
      <c r="F221" s="22"/>
      <c r="H221" s="31">
        <f t="shared" ref="H221:H222" si="20">E219-$E$218</f>
        <v>5</v>
      </c>
      <c r="I221" s="31">
        <f t="shared" si="19"/>
        <v>131</v>
      </c>
      <c r="J221" s="31">
        <f t="shared" si="18"/>
        <v>73</v>
      </c>
      <c r="K221" s="31">
        <f t="shared" si="18"/>
        <v>49</v>
      </c>
      <c r="L221" s="31">
        <f t="shared" si="18"/>
        <v>49</v>
      </c>
      <c r="M221" s="31">
        <f t="shared" si="18"/>
        <v>49</v>
      </c>
      <c r="N221" s="31">
        <f t="shared" si="18"/>
        <v>69</v>
      </c>
      <c r="O221" s="31">
        <f t="shared" si="18"/>
        <v>69</v>
      </c>
      <c r="P221" s="31">
        <f t="shared" si="18"/>
        <v>69</v>
      </c>
    </row>
    <row r="222" spans="2:17">
      <c r="B222" s="23" t="s">
        <v>138</v>
      </c>
      <c r="C222" s="24">
        <v>0.8</v>
      </c>
      <c r="D222" s="24" t="s">
        <v>215</v>
      </c>
      <c r="E222" s="24">
        <v>360</v>
      </c>
      <c r="F222" s="24">
        <v>436</v>
      </c>
      <c r="H222" s="31">
        <f t="shared" si="20"/>
        <v>35</v>
      </c>
      <c r="I222" s="31">
        <f t="shared" si="19"/>
        <v>917</v>
      </c>
      <c r="J222" s="31">
        <f t="shared" si="18"/>
        <v>511</v>
      </c>
      <c r="K222" s="31">
        <f t="shared" si="18"/>
        <v>343</v>
      </c>
      <c r="L222" s="31">
        <f t="shared" si="18"/>
        <v>343</v>
      </c>
      <c r="M222" s="31">
        <f t="shared" si="18"/>
        <v>343</v>
      </c>
      <c r="N222" s="31">
        <f t="shared" si="18"/>
        <v>483</v>
      </c>
      <c r="O222" s="31">
        <f t="shared" si="18"/>
        <v>483</v>
      </c>
      <c r="P222" s="31">
        <f t="shared" si="18"/>
        <v>483</v>
      </c>
    </row>
    <row r="223" spans="2:17">
      <c r="B223" s="49" t="s">
        <v>226</v>
      </c>
      <c r="C223" s="22"/>
      <c r="D223" s="22"/>
      <c r="E223" s="22"/>
      <c r="F223" s="22"/>
      <c r="H223" s="31"/>
      <c r="I223" s="31"/>
      <c r="J223" s="31"/>
      <c r="K223" s="31"/>
      <c r="L223" s="31"/>
      <c r="M223" s="31"/>
      <c r="N223" s="31"/>
      <c r="O223" s="31"/>
      <c r="P223" s="32"/>
    </row>
    <row r="224" spans="2:17" ht="22.8">
      <c r="B224" s="23" t="s">
        <v>227</v>
      </c>
      <c r="C224" s="24">
        <v>5</v>
      </c>
      <c r="D224" s="24" t="s">
        <v>228</v>
      </c>
      <c r="E224" s="24">
        <v>2</v>
      </c>
      <c r="F224" s="22"/>
      <c r="H224" s="31">
        <f>E224-$E$224</f>
        <v>0</v>
      </c>
      <c r="I224" s="31">
        <f>$H224*C$13</f>
        <v>0</v>
      </c>
      <c r="J224" s="31">
        <f t="shared" ref="J224:P228" si="21">$H224*D$13</f>
        <v>0</v>
      </c>
      <c r="K224" s="31">
        <f t="shared" si="21"/>
        <v>0</v>
      </c>
      <c r="L224" s="31">
        <f t="shared" si="21"/>
        <v>0</v>
      </c>
      <c r="M224" s="31">
        <f t="shared" si="21"/>
        <v>0</v>
      </c>
      <c r="N224" s="31">
        <f t="shared" si="21"/>
        <v>0</v>
      </c>
      <c r="O224" s="31">
        <f t="shared" si="21"/>
        <v>0</v>
      </c>
      <c r="P224" s="31">
        <f t="shared" si="21"/>
        <v>0</v>
      </c>
    </row>
    <row r="225" spans="2:16" ht="22.8">
      <c r="B225" s="23" t="s">
        <v>227</v>
      </c>
      <c r="C225" s="24">
        <v>4</v>
      </c>
      <c r="D225" s="24" t="s">
        <v>228</v>
      </c>
      <c r="E225" s="24">
        <v>4</v>
      </c>
      <c r="F225" s="22"/>
      <c r="H225" s="31">
        <f t="shared" ref="H225:H228" si="22">E225-$E$224</f>
        <v>2</v>
      </c>
      <c r="I225" s="31">
        <f t="shared" ref="I225:I228" si="23">$H225*C$13</f>
        <v>234.2</v>
      </c>
      <c r="J225" s="31">
        <f t="shared" si="21"/>
        <v>168.8</v>
      </c>
      <c r="K225" s="31">
        <f t="shared" si="21"/>
        <v>100</v>
      </c>
      <c r="L225" s="31">
        <f t="shared" si="21"/>
        <v>100</v>
      </c>
      <c r="M225" s="31">
        <f t="shared" si="21"/>
        <v>100</v>
      </c>
      <c r="N225" s="31">
        <f t="shared" si="21"/>
        <v>140.19999999999999</v>
      </c>
      <c r="O225" s="31">
        <f t="shared" si="21"/>
        <v>140.19999999999999</v>
      </c>
      <c r="P225" s="31">
        <f t="shared" si="21"/>
        <v>140.19999999999999</v>
      </c>
    </row>
    <row r="226" spans="2:16" ht="22.8">
      <c r="B226" s="23" t="s">
        <v>227</v>
      </c>
      <c r="C226" s="24">
        <v>3</v>
      </c>
      <c r="D226" s="24" t="s">
        <v>228</v>
      </c>
      <c r="E226" s="24">
        <v>5</v>
      </c>
      <c r="F226" s="22"/>
      <c r="H226" s="31">
        <f t="shared" si="22"/>
        <v>3</v>
      </c>
      <c r="I226" s="31">
        <f t="shared" si="23"/>
        <v>351.29999999999995</v>
      </c>
      <c r="J226" s="31">
        <f t="shared" si="21"/>
        <v>253.20000000000002</v>
      </c>
      <c r="K226" s="31">
        <f t="shared" si="21"/>
        <v>150</v>
      </c>
      <c r="L226" s="31">
        <f t="shared" si="21"/>
        <v>150</v>
      </c>
      <c r="M226" s="31">
        <f t="shared" si="21"/>
        <v>150</v>
      </c>
      <c r="N226" s="31">
        <f t="shared" si="21"/>
        <v>210.29999999999998</v>
      </c>
      <c r="O226" s="31">
        <f t="shared" si="21"/>
        <v>210.29999999999998</v>
      </c>
      <c r="P226" s="31">
        <f t="shared" si="21"/>
        <v>210.29999999999998</v>
      </c>
    </row>
    <row r="227" spans="2:16" ht="22.8">
      <c r="B227" s="23" t="s">
        <v>227</v>
      </c>
      <c r="C227" s="24">
        <v>2</v>
      </c>
      <c r="D227" s="24" t="s">
        <v>228</v>
      </c>
      <c r="E227" s="24">
        <v>6</v>
      </c>
      <c r="F227" s="22"/>
      <c r="H227" s="31">
        <f t="shared" si="22"/>
        <v>4</v>
      </c>
      <c r="I227" s="31">
        <f t="shared" si="23"/>
        <v>468.4</v>
      </c>
      <c r="J227" s="31">
        <f t="shared" si="21"/>
        <v>337.6</v>
      </c>
      <c r="K227" s="31">
        <f t="shared" si="21"/>
        <v>200</v>
      </c>
      <c r="L227" s="31">
        <f t="shared" si="21"/>
        <v>200</v>
      </c>
      <c r="M227" s="31">
        <f t="shared" si="21"/>
        <v>200</v>
      </c>
      <c r="N227" s="31">
        <f t="shared" si="21"/>
        <v>280.39999999999998</v>
      </c>
      <c r="O227" s="31">
        <f t="shared" si="21"/>
        <v>280.39999999999998</v>
      </c>
      <c r="P227" s="31">
        <f t="shared" si="21"/>
        <v>280.39999999999998</v>
      </c>
    </row>
    <row r="228" spans="2:16" ht="22.8">
      <c r="B228" s="23" t="s">
        <v>227</v>
      </c>
      <c r="C228" s="24">
        <v>1</v>
      </c>
      <c r="D228" s="24" t="s">
        <v>228</v>
      </c>
      <c r="E228" s="24">
        <v>8</v>
      </c>
      <c r="F228" s="22"/>
      <c r="H228" s="31">
        <f t="shared" si="22"/>
        <v>6</v>
      </c>
      <c r="I228" s="31">
        <f t="shared" si="23"/>
        <v>702.59999999999991</v>
      </c>
      <c r="J228" s="31">
        <f t="shared" si="21"/>
        <v>506.40000000000003</v>
      </c>
      <c r="K228" s="31">
        <f t="shared" si="21"/>
        <v>300</v>
      </c>
      <c r="L228" s="31">
        <f t="shared" si="21"/>
        <v>300</v>
      </c>
      <c r="M228" s="31">
        <f t="shared" si="21"/>
        <v>300</v>
      </c>
      <c r="N228" s="31">
        <f t="shared" si="21"/>
        <v>420.59999999999997</v>
      </c>
      <c r="O228" s="31">
        <f t="shared" si="21"/>
        <v>420.59999999999997</v>
      </c>
      <c r="P228" s="31">
        <f t="shared" si="21"/>
        <v>420.59999999999997</v>
      </c>
    </row>
    <row r="229" spans="2:16">
      <c r="H229" s="31"/>
      <c r="I229" s="31"/>
      <c r="J229" s="31"/>
      <c r="K229" s="31"/>
      <c r="L229" s="31"/>
      <c r="M229" s="31"/>
      <c r="N229" s="31"/>
      <c r="O229" s="31"/>
      <c r="P229" s="32"/>
    </row>
    <row r="230" spans="2:16">
      <c r="B230" s="15" t="s">
        <v>229</v>
      </c>
      <c r="H230" s="31"/>
      <c r="I230" s="31"/>
      <c r="J230" s="31"/>
      <c r="K230" s="31"/>
      <c r="L230" s="31"/>
      <c r="M230" s="31"/>
      <c r="N230" s="31"/>
      <c r="O230" s="31"/>
      <c r="P230" s="32"/>
    </row>
    <row r="231" spans="2:16" ht="34.200000000000003">
      <c r="B231" s="23" t="s">
        <v>207</v>
      </c>
      <c r="C231" s="24" t="s">
        <v>230</v>
      </c>
      <c r="D231" s="22"/>
      <c r="E231" s="24" t="s">
        <v>231</v>
      </c>
      <c r="F231" s="24" t="s">
        <v>232</v>
      </c>
      <c r="H231" s="31"/>
      <c r="I231" s="31"/>
      <c r="J231" s="31"/>
      <c r="K231" s="31"/>
      <c r="L231" s="31"/>
      <c r="M231" s="31"/>
      <c r="N231" s="31"/>
      <c r="O231" s="31"/>
      <c r="P231" s="32"/>
    </row>
    <row r="232" spans="2:16">
      <c r="B232" s="49" t="s">
        <v>22</v>
      </c>
      <c r="C232" s="22"/>
      <c r="D232" s="22"/>
      <c r="E232" s="22"/>
      <c r="F232" s="22"/>
      <c r="H232" s="31"/>
      <c r="I232" s="31"/>
      <c r="J232" s="31"/>
      <c r="K232" s="31"/>
      <c r="L232" s="31"/>
      <c r="M232" s="31"/>
      <c r="N232" s="31"/>
      <c r="O232" s="31"/>
      <c r="P232" s="32"/>
    </row>
    <row r="233" spans="2:16">
      <c r="B233" s="23" t="s">
        <v>139</v>
      </c>
      <c r="C233" s="24" t="s">
        <v>141</v>
      </c>
      <c r="D233" s="22"/>
      <c r="E233" s="24">
        <v>480</v>
      </c>
      <c r="F233" s="22"/>
      <c r="H233" s="31"/>
      <c r="I233" s="31"/>
      <c r="J233" s="31"/>
      <c r="K233" s="31"/>
      <c r="L233" s="31"/>
      <c r="M233" s="31"/>
      <c r="N233" s="31"/>
      <c r="O233" s="31"/>
      <c r="P233" s="32"/>
    </row>
    <row r="234" spans="2:16">
      <c r="B234" s="49" t="s">
        <v>233</v>
      </c>
      <c r="C234" s="22"/>
      <c r="D234" s="22"/>
      <c r="E234" s="22"/>
      <c r="F234" s="22"/>
      <c r="H234" s="31"/>
      <c r="I234" s="31"/>
      <c r="J234" s="31"/>
      <c r="K234" s="31"/>
      <c r="L234" s="31"/>
      <c r="M234" s="31"/>
      <c r="N234" s="31"/>
      <c r="O234" s="31"/>
      <c r="P234" s="32"/>
    </row>
    <row r="235" spans="2:16">
      <c r="B235" s="23" t="s">
        <v>234</v>
      </c>
      <c r="C235" s="24" t="s">
        <v>235</v>
      </c>
      <c r="D235" s="22"/>
      <c r="E235" s="24">
        <v>820</v>
      </c>
      <c r="F235" s="24">
        <v>1250</v>
      </c>
      <c r="H235" s="31"/>
      <c r="I235" s="31"/>
      <c r="J235" s="31"/>
      <c r="K235" s="31"/>
      <c r="L235" s="31"/>
      <c r="M235" s="31"/>
      <c r="N235" s="31"/>
      <c r="O235" s="31"/>
      <c r="P235" s="32"/>
    </row>
    <row r="236" spans="2:16">
      <c r="B236" s="23" t="s">
        <v>234</v>
      </c>
      <c r="C236" s="24" t="s">
        <v>236</v>
      </c>
      <c r="D236" s="22"/>
      <c r="E236" s="24">
        <v>820</v>
      </c>
      <c r="F236" s="24">
        <v>1250</v>
      </c>
      <c r="H236" s="31"/>
      <c r="I236" s="31"/>
      <c r="J236" s="31"/>
      <c r="K236" s="31"/>
      <c r="L236" s="31"/>
      <c r="M236" s="31"/>
      <c r="N236" s="31"/>
      <c r="O236" s="31"/>
      <c r="P236" s="32"/>
    </row>
    <row r="237" spans="2:16">
      <c r="B237" s="23" t="s">
        <v>234</v>
      </c>
      <c r="C237" s="24" t="s">
        <v>237</v>
      </c>
      <c r="D237" s="22"/>
      <c r="E237" s="24">
        <v>720</v>
      </c>
      <c r="F237" s="24">
        <v>1000</v>
      </c>
      <c r="H237" s="31"/>
      <c r="I237" s="31"/>
      <c r="J237" s="31"/>
      <c r="K237" s="31"/>
      <c r="L237" s="31"/>
      <c r="M237" s="31"/>
      <c r="N237" s="31"/>
      <c r="O237" s="31"/>
      <c r="P237" s="32"/>
    </row>
    <row r="238" spans="2:16">
      <c r="B238" s="23" t="s">
        <v>234</v>
      </c>
      <c r="C238" s="24" t="s">
        <v>238</v>
      </c>
      <c r="D238" s="22"/>
      <c r="E238" s="24">
        <v>720</v>
      </c>
      <c r="F238" s="24">
        <v>1000</v>
      </c>
      <c r="H238" s="31"/>
      <c r="I238" s="31"/>
      <c r="J238" s="31"/>
      <c r="K238" s="31"/>
      <c r="L238" s="31"/>
      <c r="M238" s="31"/>
      <c r="N238" s="31"/>
      <c r="O238" s="31"/>
      <c r="P238" s="32"/>
    </row>
    <row r="239" spans="2:16">
      <c r="B239" s="49" t="s">
        <v>239</v>
      </c>
      <c r="C239" s="22"/>
      <c r="D239" s="22"/>
      <c r="E239" s="22"/>
      <c r="F239" s="22"/>
      <c r="H239" s="31"/>
      <c r="I239" s="31"/>
      <c r="J239" s="31"/>
      <c r="K239" s="31"/>
      <c r="L239" s="31"/>
      <c r="M239" s="31"/>
      <c r="N239" s="31"/>
      <c r="O239" s="31"/>
      <c r="P239" s="32"/>
    </row>
    <row r="240" spans="2:16">
      <c r="B240" s="23" t="s">
        <v>240</v>
      </c>
      <c r="C240" s="24" t="s">
        <v>235</v>
      </c>
      <c r="D240" s="22"/>
      <c r="E240" s="24">
        <v>1540</v>
      </c>
      <c r="F240" s="24">
        <v>3340</v>
      </c>
      <c r="H240" s="31"/>
      <c r="I240" s="31"/>
      <c r="J240" s="31"/>
      <c r="K240" s="31"/>
      <c r="L240" s="31"/>
      <c r="M240" s="31"/>
      <c r="N240" s="31"/>
      <c r="O240" s="31"/>
      <c r="P240" s="32"/>
    </row>
    <row r="241" spans="2:16">
      <c r="B241" s="23" t="s">
        <v>240</v>
      </c>
      <c r="C241" s="24" t="s">
        <v>236</v>
      </c>
      <c r="D241" s="22"/>
      <c r="E241" s="24">
        <v>1390</v>
      </c>
      <c r="F241" s="24">
        <v>2865</v>
      </c>
      <c r="H241" s="31"/>
      <c r="I241" s="31"/>
      <c r="J241" s="31"/>
      <c r="K241" s="31"/>
      <c r="L241" s="31"/>
      <c r="M241" s="31"/>
      <c r="N241" s="31"/>
      <c r="O241" s="31"/>
      <c r="P241" s="32"/>
    </row>
    <row r="242" spans="2:16">
      <c r="B242" s="23" t="s">
        <v>240</v>
      </c>
      <c r="C242" s="24" t="s">
        <v>237</v>
      </c>
      <c r="D242" s="22"/>
      <c r="E242" s="24">
        <v>1115</v>
      </c>
      <c r="F242" s="24">
        <v>2090</v>
      </c>
      <c r="H242" s="31"/>
      <c r="I242" s="31"/>
      <c r="J242" s="31"/>
      <c r="K242" s="31"/>
      <c r="L242" s="31"/>
      <c r="M242" s="31"/>
      <c r="N242" s="31"/>
      <c r="O242" s="31"/>
      <c r="P242" s="32"/>
    </row>
    <row r="243" spans="2:16">
      <c r="B243" s="23" t="s">
        <v>240</v>
      </c>
      <c r="C243" s="24" t="s">
        <v>238</v>
      </c>
      <c r="D243" s="22"/>
      <c r="E243" s="24">
        <v>1190</v>
      </c>
      <c r="F243" s="24">
        <v>2340</v>
      </c>
      <c r="H243" s="31"/>
      <c r="I243" s="31"/>
      <c r="J243" s="31"/>
      <c r="K243" s="31"/>
      <c r="L243" s="31"/>
      <c r="M243" s="31"/>
      <c r="N243" s="31"/>
      <c r="O243" s="31"/>
      <c r="P243" s="32"/>
    </row>
    <row r="244" spans="2:16" ht="28.8">
      <c r="B244" s="49" t="s">
        <v>241</v>
      </c>
      <c r="C244" s="22"/>
      <c r="D244" s="22"/>
      <c r="E244" s="22"/>
      <c r="F244" s="22"/>
      <c r="G244" s="19" t="s">
        <v>330</v>
      </c>
      <c r="H244" s="31"/>
      <c r="I244" s="31"/>
      <c r="J244" s="31"/>
      <c r="K244" s="31"/>
      <c r="L244" s="31"/>
      <c r="M244" s="31"/>
      <c r="N244" s="31"/>
      <c r="O244" s="31"/>
      <c r="P244" s="32"/>
    </row>
    <row r="245" spans="2:16">
      <c r="B245" s="23" t="s">
        <v>242</v>
      </c>
      <c r="C245" s="24" t="s">
        <v>235</v>
      </c>
      <c r="D245" s="24" t="s">
        <v>243</v>
      </c>
      <c r="E245" s="24">
        <v>2338</v>
      </c>
      <c r="F245" s="22"/>
      <c r="G245" s="24">
        <v>2338</v>
      </c>
      <c r="H245" s="31"/>
      <c r="I245" s="31"/>
      <c r="J245" s="31"/>
      <c r="K245" s="31"/>
      <c r="L245" s="31"/>
      <c r="M245" s="31"/>
      <c r="N245" s="31"/>
      <c r="O245" s="31"/>
      <c r="P245" s="32"/>
    </row>
    <row r="246" spans="2:16">
      <c r="B246" s="23" t="s">
        <v>242</v>
      </c>
      <c r="C246" s="24" t="s">
        <v>236</v>
      </c>
      <c r="D246" s="24" t="s">
        <v>244</v>
      </c>
      <c r="E246" s="24">
        <v>2562</v>
      </c>
      <c r="F246" s="22"/>
      <c r="G246" s="24">
        <v>2562</v>
      </c>
      <c r="H246" s="31"/>
      <c r="I246" s="31"/>
      <c r="J246" s="31"/>
      <c r="K246" s="31"/>
      <c r="L246" s="31"/>
      <c r="M246" s="31"/>
      <c r="N246" s="31"/>
      <c r="O246" s="31"/>
      <c r="P246" s="32"/>
    </row>
    <row r="247" spans="2:16">
      <c r="B247" s="23" t="s">
        <v>242</v>
      </c>
      <c r="C247" s="24" t="s">
        <v>237</v>
      </c>
      <c r="D247" s="24" t="s">
        <v>245</v>
      </c>
      <c r="E247" s="24">
        <v>7452</v>
      </c>
      <c r="F247" s="22"/>
      <c r="G247" s="24">
        <v>7452</v>
      </c>
      <c r="H247" s="31"/>
      <c r="I247" s="31"/>
      <c r="J247" s="31"/>
      <c r="K247" s="31"/>
      <c r="L247" s="31"/>
      <c r="M247" s="31"/>
      <c r="N247" s="31"/>
      <c r="O247" s="31"/>
      <c r="P247" s="32"/>
    </row>
    <row r="248" spans="2:16">
      <c r="B248" s="23" t="s">
        <v>242</v>
      </c>
      <c r="C248" s="24" t="s">
        <v>238</v>
      </c>
      <c r="D248" s="24" t="s">
        <v>244</v>
      </c>
      <c r="E248" s="24">
        <v>2430</v>
      </c>
      <c r="F248" s="22"/>
      <c r="G248" s="24">
        <v>2430</v>
      </c>
      <c r="H248" s="31"/>
      <c r="I248" s="31"/>
      <c r="J248" s="31"/>
      <c r="K248" s="31"/>
      <c r="L248" s="31"/>
      <c r="M248" s="31"/>
      <c r="N248" s="31"/>
      <c r="O248" s="31"/>
      <c r="P248" s="32"/>
    </row>
    <row r="249" spans="2:16" ht="22.8">
      <c r="B249" s="49" t="s">
        <v>246</v>
      </c>
      <c r="C249" s="22"/>
      <c r="D249" s="22"/>
      <c r="E249" s="22"/>
      <c r="F249" s="22"/>
      <c r="H249" s="31"/>
      <c r="I249" s="31"/>
      <c r="J249" s="31"/>
      <c r="K249" s="31"/>
      <c r="L249" s="31"/>
      <c r="M249" s="31"/>
      <c r="N249" s="31"/>
      <c r="O249" s="31"/>
      <c r="P249" s="32"/>
    </row>
    <row r="250" spans="2:16">
      <c r="B250" s="23" t="s">
        <v>247</v>
      </c>
      <c r="C250" s="24" t="s">
        <v>235</v>
      </c>
      <c r="D250" s="22"/>
      <c r="E250" s="24">
        <v>2747</v>
      </c>
      <c r="F250" s="22"/>
      <c r="H250" s="31"/>
      <c r="I250" s="31"/>
      <c r="J250" s="31"/>
      <c r="K250" s="31"/>
      <c r="L250" s="31"/>
      <c r="M250" s="31"/>
      <c r="N250" s="31"/>
      <c r="O250" s="31"/>
      <c r="P250" s="32"/>
    </row>
    <row r="251" spans="2:16">
      <c r="B251" s="23" t="s">
        <v>247</v>
      </c>
      <c r="C251" s="24" t="s">
        <v>236</v>
      </c>
      <c r="D251" s="22"/>
      <c r="E251" s="24">
        <v>2006</v>
      </c>
      <c r="F251" s="22"/>
      <c r="H251" s="31"/>
      <c r="I251" s="31"/>
      <c r="J251" s="31"/>
      <c r="K251" s="31"/>
      <c r="L251" s="31"/>
      <c r="M251" s="31"/>
      <c r="N251" s="31"/>
      <c r="O251" s="31"/>
      <c r="P251" s="32"/>
    </row>
    <row r="252" spans="2:16">
      <c r="B252" s="23" t="s">
        <v>247</v>
      </c>
      <c r="C252" s="24" t="s">
        <v>237</v>
      </c>
      <c r="D252" s="22"/>
      <c r="E252" s="24">
        <v>1123</v>
      </c>
      <c r="F252" s="22"/>
      <c r="H252" s="31"/>
      <c r="I252" s="31"/>
      <c r="J252" s="31"/>
      <c r="K252" s="31"/>
      <c r="L252" s="31"/>
      <c r="M252" s="31"/>
      <c r="N252" s="31"/>
      <c r="O252" s="31"/>
      <c r="P252" s="32"/>
    </row>
    <row r="253" spans="2:16">
      <c r="B253" s="23" t="s">
        <v>247</v>
      </c>
      <c r="C253" s="24" t="s">
        <v>238</v>
      </c>
      <c r="D253" s="22"/>
      <c r="E253" s="24">
        <v>1692</v>
      </c>
      <c r="F253" s="22"/>
      <c r="H253" s="31"/>
      <c r="I253" s="31"/>
      <c r="J253" s="31"/>
      <c r="K253" s="31"/>
      <c r="L253" s="31"/>
      <c r="M253" s="31"/>
      <c r="N253" s="31"/>
      <c r="O253" s="31"/>
      <c r="P253" s="32"/>
    </row>
    <row r="254" spans="2:16">
      <c r="B254" s="49" t="s">
        <v>20</v>
      </c>
      <c r="C254" s="22"/>
      <c r="D254" s="22"/>
      <c r="E254" s="22"/>
      <c r="F254" s="22"/>
      <c r="H254" s="31"/>
      <c r="I254" s="31" t="s">
        <v>771</v>
      </c>
      <c r="J254" s="31" t="s">
        <v>772</v>
      </c>
      <c r="K254" s="31"/>
      <c r="L254" s="31"/>
      <c r="M254" s="31"/>
      <c r="N254" s="31"/>
      <c r="O254" s="31"/>
      <c r="P254" s="32"/>
    </row>
    <row r="255" spans="2:16">
      <c r="B255" s="23" t="s">
        <v>248</v>
      </c>
      <c r="C255" s="24" t="s">
        <v>235</v>
      </c>
      <c r="D255" s="22"/>
      <c r="E255" s="47">
        <f>I255*$J$255</f>
        <v>3794</v>
      </c>
      <c r="F255" s="24">
        <v>3794</v>
      </c>
      <c r="G255" s="24">
        <v>3794</v>
      </c>
      <c r="H255" s="31"/>
      <c r="I255" s="24">
        <v>3794</v>
      </c>
      <c r="J255" s="159">
        <v>1</v>
      </c>
      <c r="K255" s="31"/>
      <c r="L255" s="31"/>
      <c r="M255" s="31"/>
      <c r="N255" s="31"/>
      <c r="O255" s="31"/>
      <c r="P255" s="32"/>
    </row>
    <row r="256" spans="2:16">
      <c r="B256" s="23" t="s">
        <v>248</v>
      </c>
      <c r="C256" s="24" t="s">
        <v>236</v>
      </c>
      <c r="D256" s="22"/>
      <c r="E256" s="47">
        <f t="shared" ref="E256:E258" si="24">I256*$J$255</f>
        <v>3794</v>
      </c>
      <c r="F256" s="24">
        <v>3794</v>
      </c>
      <c r="H256" s="31"/>
      <c r="I256" s="24">
        <v>3794</v>
      </c>
      <c r="J256" s="31"/>
      <c r="K256" s="31"/>
      <c r="L256" s="31"/>
      <c r="M256" s="31"/>
      <c r="N256" s="31"/>
      <c r="O256" s="31"/>
      <c r="P256" s="32"/>
    </row>
    <row r="257" spans="2:16">
      <c r="B257" s="23" t="s">
        <v>248</v>
      </c>
      <c r="C257" s="24" t="s">
        <v>237</v>
      </c>
      <c r="D257" s="22"/>
      <c r="E257" s="47">
        <f t="shared" si="24"/>
        <v>3033</v>
      </c>
      <c r="F257" s="24">
        <v>2154</v>
      </c>
      <c r="H257" s="31"/>
      <c r="I257" s="24">
        <v>3033</v>
      </c>
      <c r="J257" s="31"/>
      <c r="K257" s="31"/>
      <c r="L257" s="31"/>
      <c r="M257" s="31"/>
      <c r="N257" s="31"/>
      <c r="O257" s="31"/>
      <c r="P257" s="32"/>
    </row>
    <row r="258" spans="2:16">
      <c r="B258" s="23" t="s">
        <v>248</v>
      </c>
      <c r="C258" s="24" t="s">
        <v>238</v>
      </c>
      <c r="D258" s="22"/>
      <c r="E258" s="47">
        <f t="shared" si="24"/>
        <v>3033</v>
      </c>
      <c r="F258" s="24">
        <v>3033</v>
      </c>
      <c r="H258" s="31"/>
      <c r="I258" s="24">
        <v>3033</v>
      </c>
      <c r="J258" s="31"/>
      <c r="K258" s="31"/>
      <c r="L258" s="31"/>
      <c r="M258" s="31"/>
      <c r="N258" s="31"/>
      <c r="O258" s="31"/>
      <c r="P258" s="32"/>
    </row>
    <row r="259" spans="2:16" ht="22.8">
      <c r="B259" s="49" t="s">
        <v>249</v>
      </c>
      <c r="C259" s="22"/>
      <c r="D259" s="22"/>
      <c r="E259" s="22"/>
      <c r="F259" s="22"/>
      <c r="H259" s="31"/>
      <c r="I259" s="31"/>
      <c r="J259" s="31"/>
      <c r="K259" s="31"/>
      <c r="L259" s="31"/>
      <c r="M259" s="31"/>
      <c r="N259" s="31"/>
      <c r="O259" s="31"/>
      <c r="P259" s="32"/>
    </row>
    <row r="260" spans="2:16">
      <c r="B260" s="23" t="s">
        <v>250</v>
      </c>
      <c r="C260" s="24" t="s">
        <v>235</v>
      </c>
      <c r="D260" s="22"/>
      <c r="E260" s="24">
        <v>2902</v>
      </c>
      <c r="F260" s="24">
        <v>568</v>
      </c>
      <c r="H260" s="31"/>
      <c r="I260" s="31"/>
      <c r="J260" s="31"/>
      <c r="K260" s="31"/>
      <c r="L260" s="31"/>
      <c r="M260" s="31"/>
      <c r="N260" s="31"/>
      <c r="O260" s="31"/>
      <c r="P260" s="32"/>
    </row>
    <row r="261" spans="2:16">
      <c r="B261" s="23" t="s">
        <v>250</v>
      </c>
      <c r="C261" s="24" t="s">
        <v>236</v>
      </c>
      <c r="D261" s="22"/>
      <c r="E261" s="24">
        <v>2161</v>
      </c>
      <c r="F261" s="24">
        <v>568</v>
      </c>
      <c r="H261" s="31"/>
      <c r="I261" s="31"/>
      <c r="J261" s="31"/>
      <c r="K261" s="31"/>
      <c r="L261" s="31"/>
      <c r="M261" s="31"/>
      <c r="N261" s="31"/>
      <c r="O261" s="31"/>
      <c r="P261" s="32"/>
    </row>
    <row r="262" spans="2:16">
      <c r="B262" s="23" t="s">
        <v>250</v>
      </c>
      <c r="C262" s="24" t="s">
        <v>237</v>
      </c>
      <c r="D262" s="22"/>
      <c r="E262" s="24">
        <v>1123</v>
      </c>
      <c r="F262" s="24">
        <v>568</v>
      </c>
      <c r="H262" s="31"/>
      <c r="I262" s="31"/>
      <c r="J262" s="31"/>
      <c r="K262" s="31"/>
      <c r="L262" s="31"/>
      <c r="M262" s="31"/>
      <c r="N262" s="31"/>
      <c r="O262" s="31"/>
      <c r="P262" s="32"/>
    </row>
    <row r="263" spans="2:16">
      <c r="B263" s="23" t="s">
        <v>250</v>
      </c>
      <c r="C263" s="24" t="s">
        <v>238</v>
      </c>
      <c r="D263" s="22"/>
      <c r="E263" s="24">
        <v>1847</v>
      </c>
      <c r="F263" s="24">
        <v>568</v>
      </c>
      <c r="H263" s="31"/>
      <c r="I263" s="31"/>
      <c r="J263" s="31"/>
      <c r="K263" s="31"/>
      <c r="L263" s="31"/>
      <c r="M263" s="31"/>
      <c r="N263" s="31"/>
      <c r="O263" s="31"/>
      <c r="P263" s="32"/>
    </row>
    <row r="264" spans="2:16">
      <c r="B264" s="49" t="s">
        <v>348</v>
      </c>
      <c r="C264" s="22"/>
      <c r="D264" s="22"/>
      <c r="E264" s="22"/>
      <c r="F264" s="22"/>
      <c r="H264" s="31"/>
      <c r="I264" s="31"/>
      <c r="J264" s="31"/>
      <c r="K264" s="31"/>
      <c r="L264" s="31"/>
      <c r="M264" s="31"/>
      <c r="N264" s="31"/>
      <c r="O264" s="31"/>
      <c r="P264" s="32"/>
    </row>
    <row r="265" spans="2:16" ht="34.200000000000003">
      <c r="B265" s="23" t="s">
        <v>251</v>
      </c>
      <c r="C265" s="24" t="s">
        <v>252</v>
      </c>
      <c r="D265" s="22"/>
      <c r="E265" s="24">
        <v>346</v>
      </c>
      <c r="F265" s="22"/>
      <c r="H265" s="31"/>
      <c r="I265" s="31"/>
      <c r="J265" s="31"/>
      <c r="K265" s="31"/>
      <c r="L265" s="31"/>
      <c r="M265" s="31"/>
      <c r="N265" s="31"/>
      <c r="O265" s="31"/>
      <c r="P265" s="32"/>
    </row>
    <row r="266" spans="2:16" ht="22.8">
      <c r="B266" s="23" t="s">
        <v>251</v>
      </c>
      <c r="C266" s="24" t="s">
        <v>253</v>
      </c>
      <c r="D266" s="22"/>
      <c r="E266" s="24">
        <v>743</v>
      </c>
      <c r="F266" s="22"/>
      <c r="H266" s="31"/>
      <c r="I266" s="31"/>
      <c r="J266" s="31"/>
      <c r="K266" s="31"/>
      <c r="L266" s="31"/>
      <c r="M266" s="31"/>
      <c r="N266" s="31"/>
      <c r="O266" s="31"/>
      <c r="P266" s="32"/>
    </row>
    <row r="267" spans="2:16" ht="22.8">
      <c r="B267" s="23" t="s">
        <v>251</v>
      </c>
      <c r="C267" s="24" t="s">
        <v>254</v>
      </c>
      <c r="D267" s="22"/>
      <c r="E267" s="24">
        <v>988</v>
      </c>
      <c r="F267" s="22"/>
      <c r="G267" s="27" t="s">
        <v>698</v>
      </c>
      <c r="H267" s="31"/>
      <c r="I267" s="31"/>
      <c r="J267" s="31"/>
      <c r="K267" s="31"/>
      <c r="L267" s="31"/>
      <c r="M267" s="31"/>
      <c r="N267" s="31"/>
      <c r="O267" s="31"/>
      <c r="P267" s="32"/>
    </row>
    <row r="268" spans="2:16" ht="22.8">
      <c r="B268" s="23" t="s">
        <v>251</v>
      </c>
      <c r="C268" s="24" t="s">
        <v>255</v>
      </c>
      <c r="D268" s="22"/>
      <c r="E268" s="24">
        <v>1076</v>
      </c>
      <c r="F268" s="22"/>
      <c r="H268" s="31"/>
      <c r="I268" s="31"/>
      <c r="J268" s="31"/>
      <c r="K268" s="31"/>
      <c r="L268" s="31"/>
      <c r="M268" s="31"/>
      <c r="N268" s="31"/>
      <c r="O268" s="31"/>
      <c r="P268" s="32"/>
    </row>
    <row r="269" spans="2:16" ht="34.200000000000003">
      <c r="B269" s="23" t="s">
        <v>331</v>
      </c>
      <c r="C269" s="24" t="s">
        <v>332</v>
      </c>
      <c r="D269" s="22"/>
      <c r="E269" s="24">
        <v>85</v>
      </c>
      <c r="F269" s="22"/>
      <c r="G269" s="27" t="s">
        <v>333</v>
      </c>
      <c r="H269" s="31"/>
      <c r="I269" s="31"/>
      <c r="J269" s="31"/>
      <c r="K269" s="31"/>
      <c r="L269" s="31"/>
      <c r="M269" s="31"/>
      <c r="N269" s="31"/>
      <c r="O269" s="31"/>
      <c r="P269" s="32"/>
    </row>
    <row r="270" spans="2:16">
      <c r="B270" s="49" t="s">
        <v>256</v>
      </c>
      <c r="C270" s="22"/>
      <c r="D270" s="22"/>
      <c r="E270" s="22"/>
      <c r="F270" s="22"/>
      <c r="H270" s="31"/>
      <c r="I270" s="31"/>
      <c r="J270" s="31"/>
      <c r="K270" s="31"/>
      <c r="L270" s="31"/>
      <c r="M270" s="31"/>
      <c r="N270" s="31"/>
      <c r="O270" s="31"/>
      <c r="P270" s="32"/>
    </row>
    <row r="271" spans="2:16">
      <c r="B271" s="23" t="s">
        <v>257</v>
      </c>
      <c r="C271" s="24" t="s">
        <v>235</v>
      </c>
      <c r="D271" s="22"/>
      <c r="E271" s="24">
        <v>3430</v>
      </c>
      <c r="F271" s="24">
        <v>3430</v>
      </c>
      <c r="H271" s="31"/>
      <c r="I271" s="31"/>
      <c r="J271" s="31"/>
      <c r="K271" s="31"/>
      <c r="L271" s="31"/>
      <c r="M271" s="31"/>
      <c r="N271" s="31"/>
      <c r="O271" s="31"/>
      <c r="P271" s="32"/>
    </row>
    <row r="272" spans="2:16">
      <c r="B272" s="23" t="s">
        <v>257</v>
      </c>
      <c r="C272" s="24" t="s">
        <v>236</v>
      </c>
      <c r="D272" s="22"/>
      <c r="E272" s="24">
        <v>3430</v>
      </c>
      <c r="F272" s="24">
        <v>3430</v>
      </c>
      <c r="H272" s="31"/>
      <c r="I272" s="31"/>
      <c r="J272" s="31"/>
      <c r="K272" s="31"/>
      <c r="L272" s="31"/>
      <c r="M272" s="31"/>
      <c r="N272" s="31"/>
      <c r="O272" s="31"/>
      <c r="P272" s="32"/>
    </row>
    <row r="273" spans="2:16">
      <c r="B273" s="23" t="s">
        <v>258</v>
      </c>
      <c r="C273" s="24" t="s">
        <v>237</v>
      </c>
      <c r="D273" s="22"/>
      <c r="E273" s="24">
        <v>6085</v>
      </c>
      <c r="F273" s="24">
        <v>3430</v>
      </c>
      <c r="H273" s="31"/>
      <c r="I273" s="31"/>
      <c r="J273" s="31"/>
      <c r="K273" s="31"/>
      <c r="L273" s="31"/>
      <c r="M273" s="31"/>
      <c r="N273" s="31"/>
      <c r="O273" s="31"/>
      <c r="P273" s="32"/>
    </row>
    <row r="274" spans="2:16">
      <c r="B274" s="23" t="s">
        <v>258</v>
      </c>
      <c r="C274" s="24" t="s">
        <v>238</v>
      </c>
      <c r="D274" s="22"/>
      <c r="E274" s="24">
        <v>5285</v>
      </c>
      <c r="F274" s="24">
        <v>3430</v>
      </c>
      <c r="H274" s="31"/>
      <c r="I274" s="31"/>
      <c r="J274" s="31"/>
      <c r="K274" s="31"/>
      <c r="L274" s="31"/>
      <c r="M274" s="31"/>
      <c r="N274" s="31"/>
      <c r="O274" s="31"/>
      <c r="P274" s="32"/>
    </row>
    <row r="275" spans="2:16">
      <c r="B275" s="23" t="s">
        <v>259</v>
      </c>
      <c r="C275" s="22"/>
      <c r="D275" s="22"/>
      <c r="E275" s="22"/>
      <c r="F275" s="22"/>
      <c r="H275" s="31"/>
      <c r="I275" s="31"/>
      <c r="J275" s="31"/>
      <c r="K275" s="31"/>
      <c r="L275" s="31"/>
      <c r="M275" s="31"/>
      <c r="N275" s="31"/>
      <c r="O275" s="31"/>
      <c r="P275" s="32"/>
    </row>
    <row r="276" spans="2:16">
      <c r="B276" s="23" t="s">
        <v>260</v>
      </c>
      <c r="C276" s="24" t="s">
        <v>235</v>
      </c>
      <c r="D276" s="22"/>
      <c r="E276" s="24">
        <v>1000</v>
      </c>
      <c r="F276" s="24">
        <v>1543</v>
      </c>
      <c r="H276" s="31"/>
      <c r="I276" s="31"/>
      <c r="J276" s="31"/>
      <c r="K276" s="31"/>
      <c r="L276" s="31"/>
      <c r="M276" s="31"/>
      <c r="N276" s="31"/>
      <c r="O276" s="31"/>
      <c r="P276" s="32"/>
    </row>
    <row r="277" spans="2:16">
      <c r="B277" s="23" t="s">
        <v>260</v>
      </c>
      <c r="C277" s="24" t="s">
        <v>236</v>
      </c>
      <c r="D277" s="22"/>
      <c r="E277" s="24">
        <v>1000</v>
      </c>
      <c r="F277" s="24">
        <v>1543</v>
      </c>
      <c r="H277" s="31"/>
      <c r="I277" s="31"/>
      <c r="J277" s="31"/>
      <c r="K277" s="31"/>
      <c r="L277" s="31"/>
      <c r="M277" s="31"/>
      <c r="N277" s="31"/>
      <c r="O277" s="31"/>
      <c r="P277" s="32"/>
    </row>
    <row r="278" spans="2:16">
      <c r="B278" s="23" t="s">
        <v>261</v>
      </c>
      <c r="C278" s="24" t="s">
        <v>237</v>
      </c>
      <c r="D278" s="22"/>
      <c r="E278" s="24">
        <v>1200</v>
      </c>
      <c r="F278" s="24">
        <v>1543</v>
      </c>
      <c r="H278" s="31"/>
      <c r="I278" s="31"/>
      <c r="J278" s="31"/>
      <c r="K278" s="31"/>
      <c r="L278" s="31"/>
      <c r="M278" s="31"/>
      <c r="N278" s="31"/>
      <c r="O278" s="31"/>
      <c r="P278" s="32"/>
    </row>
    <row r="279" spans="2:16">
      <c r="B279" s="23" t="s">
        <v>261</v>
      </c>
      <c r="C279" s="24" t="s">
        <v>238</v>
      </c>
      <c r="D279" s="22"/>
      <c r="E279" s="24">
        <v>1200</v>
      </c>
      <c r="F279" s="24">
        <v>1543</v>
      </c>
      <c r="H279" s="31"/>
      <c r="I279" s="31"/>
      <c r="J279" s="31"/>
      <c r="K279" s="31"/>
      <c r="L279" s="31"/>
      <c r="M279" s="31"/>
      <c r="N279" s="31"/>
      <c r="O279" s="31"/>
      <c r="P279" s="32"/>
    </row>
    <row r="280" spans="2:16">
      <c r="B280" s="49" t="s">
        <v>262</v>
      </c>
      <c r="C280" s="22"/>
      <c r="D280" s="22"/>
      <c r="E280" s="22"/>
      <c r="F280" s="22"/>
      <c r="H280" s="31"/>
      <c r="I280" s="31"/>
      <c r="J280" s="31"/>
      <c r="K280" s="31"/>
      <c r="L280" s="31"/>
      <c r="M280" s="31"/>
      <c r="N280" s="31"/>
      <c r="O280" s="31"/>
      <c r="P280" s="32"/>
    </row>
    <row r="281" spans="2:16">
      <c r="B281" s="23" t="s">
        <v>263</v>
      </c>
      <c r="C281" s="24" t="s">
        <v>237</v>
      </c>
      <c r="D281" s="22"/>
      <c r="E281" s="24">
        <v>8406</v>
      </c>
      <c r="F281" s="24">
        <v>2154</v>
      </c>
      <c r="G281" s="27" t="s">
        <v>334</v>
      </c>
      <c r="H281" s="31"/>
      <c r="I281" s="31"/>
      <c r="J281" s="31"/>
      <c r="K281" s="31"/>
      <c r="L281" s="31"/>
      <c r="M281" s="31"/>
      <c r="N281" s="31"/>
      <c r="O281" s="31"/>
      <c r="P281" s="32"/>
    </row>
    <row r="282" spans="2:16" ht="22.8">
      <c r="B282" s="49" t="s">
        <v>264</v>
      </c>
      <c r="C282" s="22"/>
      <c r="D282" s="22"/>
      <c r="E282" s="22"/>
      <c r="F282" s="22"/>
      <c r="G282" s="27" t="s">
        <v>334</v>
      </c>
      <c r="H282" s="31"/>
      <c r="I282" s="31"/>
      <c r="J282" s="31"/>
      <c r="K282" s="31"/>
      <c r="L282" s="31"/>
      <c r="M282" s="31"/>
      <c r="N282" s="31"/>
      <c r="O282" s="31"/>
      <c r="P282" s="32"/>
    </row>
    <row r="283" spans="2:16">
      <c r="B283" s="23" t="s">
        <v>261</v>
      </c>
      <c r="C283" s="24" t="s">
        <v>237</v>
      </c>
      <c r="D283" s="22"/>
      <c r="E283" s="24">
        <v>1123</v>
      </c>
      <c r="F283" s="22"/>
      <c r="G283" s="27" t="s">
        <v>334</v>
      </c>
      <c r="H283" s="31"/>
      <c r="I283" s="31"/>
      <c r="J283" s="31"/>
      <c r="K283" s="31"/>
      <c r="L283" s="31"/>
      <c r="M283" s="31"/>
      <c r="N283" s="31"/>
      <c r="O283" s="31"/>
      <c r="P283" s="32"/>
    </row>
    <row r="284" spans="2:16">
      <c r="B284" s="23" t="s">
        <v>261</v>
      </c>
      <c r="C284" s="24" t="s">
        <v>238</v>
      </c>
      <c r="D284" s="22"/>
      <c r="E284" s="24">
        <v>868</v>
      </c>
      <c r="F284" s="22"/>
      <c r="G284" s="27" t="s">
        <v>334</v>
      </c>
      <c r="H284" s="31"/>
      <c r="I284" s="31"/>
      <c r="J284" s="31"/>
      <c r="K284" s="31"/>
      <c r="L284" s="31"/>
      <c r="M284" s="31"/>
      <c r="N284" s="31"/>
      <c r="O284" s="31"/>
      <c r="P284" s="32"/>
    </row>
    <row r="285" spans="2:16">
      <c r="B285" s="49" t="s">
        <v>265</v>
      </c>
      <c r="C285" s="22"/>
      <c r="D285" s="22"/>
      <c r="E285" s="22"/>
      <c r="F285" s="22"/>
      <c r="G285" s="27"/>
      <c r="H285" s="31"/>
      <c r="I285" s="31"/>
      <c r="J285" s="31"/>
      <c r="K285" s="31"/>
      <c r="L285" s="31"/>
      <c r="M285" s="31"/>
      <c r="N285" s="31"/>
      <c r="O285" s="31"/>
      <c r="P285" s="32"/>
    </row>
    <row r="286" spans="2:16">
      <c r="B286" s="23" t="s">
        <v>266</v>
      </c>
      <c r="C286" s="24" t="s">
        <v>235</v>
      </c>
      <c r="D286" s="33">
        <v>58.59</v>
      </c>
      <c r="E286" s="24">
        <v>879</v>
      </c>
      <c r="F286" s="22"/>
      <c r="G286" s="27"/>
      <c r="H286" s="31"/>
      <c r="I286" s="31"/>
      <c r="J286" s="31"/>
      <c r="K286" s="31"/>
      <c r="L286" s="31"/>
      <c r="M286" s="31"/>
      <c r="N286" s="31"/>
      <c r="O286" s="31"/>
      <c r="P286" s="32"/>
    </row>
    <row r="287" spans="2:16">
      <c r="B287" s="23" t="s">
        <v>266</v>
      </c>
      <c r="C287" s="24" t="s">
        <v>236</v>
      </c>
      <c r="D287" s="33">
        <v>58.59</v>
      </c>
      <c r="E287" s="24">
        <v>586</v>
      </c>
      <c r="F287" s="22"/>
      <c r="H287" s="31"/>
      <c r="I287" s="31"/>
      <c r="J287" s="31"/>
      <c r="K287" s="31"/>
      <c r="L287" s="31"/>
      <c r="M287" s="31"/>
      <c r="N287" s="31"/>
      <c r="O287" s="31"/>
      <c r="P287" s="32"/>
    </row>
    <row r="288" spans="2:16">
      <c r="B288" s="23" t="s">
        <v>266</v>
      </c>
      <c r="C288" s="24" t="s">
        <v>237</v>
      </c>
      <c r="D288" s="33">
        <v>58.59</v>
      </c>
      <c r="E288" s="24">
        <v>293</v>
      </c>
      <c r="F288" s="22"/>
      <c r="H288" s="31"/>
      <c r="I288" s="31"/>
      <c r="J288" s="31"/>
      <c r="K288" s="31"/>
      <c r="L288" s="31"/>
      <c r="M288" s="31"/>
      <c r="N288" s="31"/>
      <c r="O288" s="31"/>
      <c r="P288" s="32"/>
    </row>
    <row r="289" spans="2:16">
      <c r="B289" s="23" t="s">
        <v>266</v>
      </c>
      <c r="C289" s="24" t="s">
        <v>238</v>
      </c>
      <c r="D289" s="33">
        <v>58.59</v>
      </c>
      <c r="E289" s="24">
        <v>410</v>
      </c>
      <c r="F289" s="22"/>
      <c r="H289" s="31"/>
      <c r="I289" s="31"/>
      <c r="J289" s="31"/>
      <c r="K289" s="31"/>
      <c r="L289" s="31"/>
      <c r="M289" s="31"/>
      <c r="N289" s="31"/>
      <c r="O289" s="31"/>
      <c r="P289" s="32"/>
    </row>
    <row r="290" spans="2:16">
      <c r="B290" s="49" t="s">
        <v>267</v>
      </c>
      <c r="C290" s="22"/>
      <c r="D290" s="22"/>
      <c r="E290" s="22"/>
      <c r="F290" s="22"/>
      <c r="H290" s="31"/>
      <c r="I290" s="31"/>
      <c r="J290" s="31"/>
      <c r="K290" s="31"/>
      <c r="L290" s="31"/>
      <c r="M290" s="31"/>
      <c r="N290" s="31"/>
      <c r="O290" s="31"/>
      <c r="P290" s="32"/>
    </row>
    <row r="291" spans="2:16">
      <c r="B291" s="23" t="s">
        <v>268</v>
      </c>
      <c r="C291" s="24" t="s">
        <v>235</v>
      </c>
      <c r="D291" s="33">
        <v>90</v>
      </c>
      <c r="E291" s="24">
        <v>1350</v>
      </c>
      <c r="F291" s="24">
        <v>3997</v>
      </c>
      <c r="H291" s="31"/>
      <c r="I291" s="31"/>
      <c r="J291" s="31"/>
      <c r="K291" s="31"/>
      <c r="L291" s="31"/>
      <c r="M291" s="31"/>
      <c r="N291" s="31"/>
      <c r="O291" s="31"/>
      <c r="P291" s="32"/>
    </row>
    <row r="292" spans="2:16">
      <c r="B292" s="23" t="s">
        <v>268</v>
      </c>
      <c r="C292" s="24" t="s">
        <v>236</v>
      </c>
      <c r="D292" s="33">
        <v>90</v>
      </c>
      <c r="E292" s="24">
        <v>900</v>
      </c>
      <c r="F292" s="24">
        <v>2748</v>
      </c>
      <c r="H292" s="31"/>
      <c r="I292" s="31"/>
      <c r="J292" s="31"/>
      <c r="K292" s="31"/>
      <c r="L292" s="31"/>
      <c r="M292" s="31"/>
      <c r="N292" s="31"/>
      <c r="O292" s="31"/>
      <c r="P292" s="32"/>
    </row>
    <row r="293" spans="2:16">
      <c r="B293" s="23" t="s">
        <v>268</v>
      </c>
      <c r="C293" s="24" t="s">
        <v>237</v>
      </c>
      <c r="D293" s="33">
        <v>90</v>
      </c>
      <c r="E293" s="24">
        <v>450</v>
      </c>
      <c r="F293" s="24">
        <v>1499</v>
      </c>
      <c r="H293" s="31"/>
      <c r="I293" s="31"/>
      <c r="J293" s="31"/>
      <c r="K293" s="31"/>
      <c r="L293" s="31"/>
      <c r="M293" s="31"/>
      <c r="N293" s="31"/>
      <c r="O293" s="31"/>
      <c r="P293" s="32"/>
    </row>
    <row r="294" spans="2:16">
      <c r="B294" s="23" t="s">
        <v>268</v>
      </c>
      <c r="C294" s="24" t="s">
        <v>238</v>
      </c>
      <c r="D294" s="33">
        <v>90</v>
      </c>
      <c r="E294" s="24">
        <v>630</v>
      </c>
      <c r="F294" s="24">
        <v>1999</v>
      </c>
      <c r="H294" s="31"/>
      <c r="I294" s="31"/>
      <c r="J294" s="31"/>
      <c r="K294" s="31"/>
      <c r="L294" s="31"/>
      <c r="M294" s="31"/>
      <c r="N294" s="31"/>
      <c r="O294" s="31"/>
      <c r="P294" s="32"/>
    </row>
    <row r="295" spans="2:16">
      <c r="B295" s="49" t="s">
        <v>269</v>
      </c>
      <c r="C295" s="22"/>
      <c r="D295" s="22"/>
      <c r="E295" s="22"/>
      <c r="F295" s="22"/>
      <c r="H295" s="31"/>
      <c r="I295" s="31"/>
      <c r="J295" s="31"/>
      <c r="K295" s="31"/>
      <c r="L295" s="31"/>
      <c r="M295" s="31"/>
      <c r="N295" s="31"/>
      <c r="O295" s="31"/>
      <c r="P295" s="32"/>
    </row>
    <row r="296" spans="2:16">
      <c r="B296" s="23" t="s">
        <v>270</v>
      </c>
      <c r="C296" s="24" t="s">
        <v>235</v>
      </c>
      <c r="D296" s="24" t="s">
        <v>271</v>
      </c>
      <c r="E296" s="24">
        <v>1229</v>
      </c>
      <c r="F296" s="24">
        <v>1622</v>
      </c>
      <c r="H296" s="31"/>
      <c r="I296" s="31"/>
      <c r="J296" s="31"/>
      <c r="K296" s="31"/>
      <c r="L296" s="31"/>
      <c r="M296" s="31"/>
      <c r="N296" s="31"/>
      <c r="O296" s="31"/>
      <c r="P296" s="32"/>
    </row>
    <row r="297" spans="2:16">
      <c r="B297" s="23" t="s">
        <v>270</v>
      </c>
      <c r="C297" s="24" t="s">
        <v>236</v>
      </c>
      <c r="D297" s="24" t="s">
        <v>272</v>
      </c>
      <c r="E297" s="24">
        <v>1132</v>
      </c>
      <c r="F297" s="24">
        <v>1524</v>
      </c>
      <c r="H297" s="31"/>
      <c r="I297" s="31"/>
      <c r="J297" s="31"/>
      <c r="K297" s="31"/>
      <c r="L297" s="31"/>
      <c r="M297" s="31"/>
      <c r="N297" s="31"/>
      <c r="O297" s="31"/>
      <c r="P297" s="32"/>
    </row>
    <row r="298" spans="2:16">
      <c r="B298" s="23" t="s">
        <v>270</v>
      </c>
      <c r="C298" s="24" t="s">
        <v>237</v>
      </c>
      <c r="D298" s="24" t="s">
        <v>272</v>
      </c>
      <c r="E298" s="24">
        <v>1132</v>
      </c>
      <c r="F298" s="24">
        <v>1524</v>
      </c>
      <c r="H298" s="31"/>
      <c r="I298" s="31"/>
      <c r="J298" s="31"/>
      <c r="K298" s="31"/>
      <c r="L298" s="31"/>
      <c r="M298" s="31"/>
      <c r="N298" s="31"/>
      <c r="O298" s="31"/>
      <c r="P298" s="32"/>
    </row>
    <row r="299" spans="2:16">
      <c r="B299" s="23" t="s">
        <v>270</v>
      </c>
      <c r="C299" s="24" t="s">
        <v>238</v>
      </c>
      <c r="D299" s="24" t="s">
        <v>272</v>
      </c>
      <c r="E299" s="24">
        <v>1132</v>
      </c>
      <c r="F299" s="24">
        <v>1524</v>
      </c>
      <c r="H299" s="31"/>
      <c r="I299" s="31"/>
      <c r="J299" s="31"/>
      <c r="K299" s="31"/>
      <c r="L299" s="31"/>
      <c r="M299" s="31"/>
      <c r="N299" s="31"/>
      <c r="O299" s="31"/>
      <c r="P299" s="32"/>
    </row>
    <row r="300" spans="2:16">
      <c r="B300" s="49" t="s">
        <v>273</v>
      </c>
      <c r="C300" s="22"/>
      <c r="D300" s="22"/>
      <c r="E300" s="22"/>
      <c r="F300" s="22"/>
      <c r="H300" s="31"/>
      <c r="I300" s="31"/>
      <c r="J300" s="31"/>
      <c r="K300" s="31"/>
      <c r="L300" s="31"/>
      <c r="M300" s="31"/>
      <c r="N300" s="31"/>
      <c r="O300" s="31"/>
      <c r="P300" s="32"/>
    </row>
    <row r="301" spans="2:16">
      <c r="B301" s="23" t="s">
        <v>274</v>
      </c>
      <c r="C301" s="24" t="s">
        <v>235</v>
      </c>
      <c r="D301" s="24" t="s">
        <v>275</v>
      </c>
      <c r="E301" s="24">
        <v>4352</v>
      </c>
      <c r="F301" s="24">
        <v>4587</v>
      </c>
      <c r="H301" s="31"/>
      <c r="I301" s="31"/>
      <c r="J301" s="31"/>
      <c r="K301" s="31"/>
      <c r="L301" s="31"/>
      <c r="M301" s="31"/>
      <c r="N301" s="31"/>
      <c r="O301" s="31"/>
      <c r="P301" s="32"/>
    </row>
    <row r="302" spans="2:16">
      <c r="B302" s="23" t="s">
        <v>274</v>
      </c>
      <c r="C302" s="24" t="s">
        <v>236</v>
      </c>
      <c r="D302" s="24" t="s">
        <v>276</v>
      </c>
      <c r="E302" s="24">
        <v>2224</v>
      </c>
      <c r="F302" s="24">
        <v>2459</v>
      </c>
      <c r="H302" s="31"/>
      <c r="I302" s="31"/>
      <c r="J302" s="31"/>
      <c r="K302" s="31"/>
      <c r="L302" s="31"/>
      <c r="M302" s="31"/>
      <c r="N302" s="31"/>
      <c r="O302" s="31"/>
      <c r="P302" s="32"/>
    </row>
    <row r="303" spans="2:16">
      <c r="B303" s="23" t="s">
        <v>274</v>
      </c>
      <c r="C303" s="24" t="s">
        <v>237</v>
      </c>
      <c r="D303" s="24" t="s">
        <v>272</v>
      </c>
      <c r="E303" s="24">
        <v>1977</v>
      </c>
      <c r="F303" s="24">
        <v>2212</v>
      </c>
      <c r="H303" s="31"/>
      <c r="I303" s="31"/>
      <c r="J303" s="31"/>
      <c r="K303" s="31"/>
      <c r="L303" s="31"/>
      <c r="M303" s="31"/>
      <c r="N303" s="31"/>
      <c r="O303" s="31"/>
      <c r="P303" s="32"/>
    </row>
    <row r="304" spans="2:16">
      <c r="B304" s="23" t="s">
        <v>274</v>
      </c>
      <c r="C304" s="24" t="s">
        <v>238</v>
      </c>
      <c r="D304" s="24" t="s">
        <v>276</v>
      </c>
      <c r="E304" s="24">
        <v>2224</v>
      </c>
      <c r="F304" s="24">
        <v>2459</v>
      </c>
      <c r="H304" s="31"/>
      <c r="I304" s="31"/>
      <c r="J304" s="31"/>
      <c r="K304" s="31"/>
      <c r="L304" s="31"/>
      <c r="M304" s="31"/>
      <c r="N304" s="31"/>
      <c r="O304" s="31"/>
      <c r="P304" s="32"/>
    </row>
    <row r="305" spans="2:16">
      <c r="B305" s="49" t="s">
        <v>277</v>
      </c>
      <c r="C305" s="22"/>
      <c r="D305" s="22"/>
      <c r="E305" s="22"/>
      <c r="F305" s="22"/>
      <c r="H305" s="31"/>
      <c r="I305" s="31"/>
      <c r="J305" s="31"/>
      <c r="K305" s="31"/>
      <c r="L305" s="31"/>
      <c r="M305" s="31"/>
      <c r="N305" s="31"/>
      <c r="O305" s="31"/>
      <c r="P305" s="32"/>
    </row>
    <row r="306" spans="2:16">
      <c r="B306" s="23" t="s">
        <v>278</v>
      </c>
      <c r="C306" s="24" t="s">
        <v>279</v>
      </c>
      <c r="D306" s="24" t="s">
        <v>280</v>
      </c>
      <c r="E306" s="24">
        <v>2000</v>
      </c>
      <c r="F306" s="24">
        <v>2393</v>
      </c>
      <c r="H306" s="31"/>
      <c r="I306" s="31"/>
      <c r="J306" s="31"/>
      <c r="K306" s="31"/>
      <c r="L306" s="31"/>
      <c r="M306" s="31"/>
      <c r="N306" s="31"/>
      <c r="O306" s="31"/>
      <c r="P306" s="32"/>
    </row>
    <row r="307" spans="2:16">
      <c r="B307" s="49" t="s">
        <v>281</v>
      </c>
      <c r="C307" s="22"/>
      <c r="D307" s="22"/>
      <c r="E307" s="22"/>
      <c r="F307" s="22"/>
      <c r="H307" s="31"/>
      <c r="I307" s="31"/>
      <c r="J307" s="31"/>
      <c r="K307" s="31"/>
      <c r="L307" s="31"/>
      <c r="M307" s="31"/>
      <c r="N307" s="31"/>
      <c r="O307" s="31"/>
      <c r="P307" s="32"/>
    </row>
    <row r="308" spans="2:16">
      <c r="B308" s="23" t="s">
        <v>282</v>
      </c>
      <c r="C308" s="24" t="s">
        <v>235</v>
      </c>
      <c r="D308" s="22"/>
      <c r="E308" s="24">
        <v>1749</v>
      </c>
      <c r="F308" s="22"/>
      <c r="H308" s="31"/>
      <c r="I308" s="31"/>
      <c r="J308" s="31"/>
      <c r="K308" s="31"/>
      <c r="L308" s="31"/>
      <c r="M308" s="31"/>
      <c r="N308" s="31"/>
      <c r="O308" s="31"/>
      <c r="P308" s="32"/>
    </row>
    <row r="309" spans="2:16">
      <c r="B309" s="23" t="s">
        <v>282</v>
      </c>
      <c r="C309" s="24" t="s">
        <v>236</v>
      </c>
      <c r="D309" s="22"/>
      <c r="E309" s="24">
        <v>982</v>
      </c>
      <c r="F309" s="22"/>
      <c r="H309" s="31"/>
      <c r="I309" s="31"/>
      <c r="J309" s="31"/>
      <c r="K309" s="31"/>
      <c r="L309" s="31"/>
      <c r="M309" s="31"/>
      <c r="N309" s="31"/>
      <c r="O309" s="31"/>
      <c r="P309" s="32"/>
    </row>
    <row r="310" spans="2:16">
      <c r="B310" s="23" t="s">
        <v>282</v>
      </c>
      <c r="C310" s="24" t="s">
        <v>237</v>
      </c>
      <c r="D310" s="22"/>
      <c r="E310" s="24">
        <v>659</v>
      </c>
      <c r="F310" s="22"/>
      <c r="H310" s="31"/>
      <c r="I310" s="31"/>
      <c r="J310" s="31"/>
      <c r="K310" s="31"/>
      <c r="L310" s="31"/>
      <c r="M310" s="31"/>
      <c r="N310" s="31"/>
      <c r="O310" s="31"/>
      <c r="P310" s="32"/>
    </row>
    <row r="311" spans="2:16">
      <c r="B311" s="23" t="s">
        <v>282</v>
      </c>
      <c r="C311" s="24" t="s">
        <v>238</v>
      </c>
      <c r="D311" s="22"/>
      <c r="E311" s="24">
        <v>928</v>
      </c>
      <c r="F311" s="22"/>
      <c r="H311" s="31"/>
      <c r="I311" s="31"/>
      <c r="J311" s="31"/>
      <c r="K311" s="31"/>
      <c r="L311" s="31"/>
      <c r="M311" s="31"/>
      <c r="N311" s="31"/>
      <c r="O311" s="31"/>
      <c r="P311" s="32"/>
    </row>
    <row r="312" spans="2:16">
      <c r="B312" s="49" t="s">
        <v>325</v>
      </c>
      <c r="C312" s="24"/>
      <c r="D312" s="22"/>
      <c r="E312" s="24"/>
      <c r="F312" s="22"/>
      <c r="H312" s="31"/>
      <c r="I312" s="31"/>
      <c r="J312" s="31"/>
      <c r="K312" s="31"/>
      <c r="L312" s="31"/>
      <c r="M312" s="31"/>
      <c r="N312" s="31"/>
      <c r="O312" s="31"/>
      <c r="P312" s="32"/>
    </row>
    <row r="313" spans="2:16" ht="22.8">
      <c r="B313" s="23" t="s">
        <v>325</v>
      </c>
      <c r="C313" s="24" t="s">
        <v>326</v>
      </c>
      <c r="D313" s="22" t="s">
        <v>328</v>
      </c>
      <c r="E313" s="24">
        <v>400</v>
      </c>
      <c r="F313" s="22"/>
      <c r="G313" s="27" t="s">
        <v>591</v>
      </c>
      <c r="H313" s="31"/>
      <c r="I313" s="31"/>
      <c r="J313" s="31"/>
      <c r="K313" s="31"/>
      <c r="L313" s="31"/>
      <c r="M313" s="31"/>
      <c r="N313" s="31"/>
      <c r="O313" s="31"/>
      <c r="P313" s="32"/>
    </row>
    <row r="314" spans="2:16">
      <c r="B314" s="23" t="s">
        <v>325</v>
      </c>
      <c r="C314" s="24" t="s">
        <v>327</v>
      </c>
      <c r="D314" s="22" t="s">
        <v>329</v>
      </c>
      <c r="E314" s="24">
        <v>1200</v>
      </c>
      <c r="F314" s="22"/>
      <c r="G314" s="27" t="s">
        <v>591</v>
      </c>
      <c r="H314" s="31"/>
      <c r="I314" s="31"/>
      <c r="J314" s="31"/>
      <c r="K314" s="31"/>
      <c r="L314" s="31"/>
      <c r="M314" s="31"/>
      <c r="N314" s="31"/>
      <c r="O314" s="31"/>
      <c r="P314" s="32"/>
    </row>
    <row r="315" spans="2:16">
      <c r="B315" s="49" t="s">
        <v>84</v>
      </c>
      <c r="C315" s="24"/>
      <c r="D315" s="22"/>
      <c r="E315" s="24"/>
      <c r="F315" s="22"/>
      <c r="G315" s="27"/>
      <c r="H315" s="31"/>
      <c r="I315" s="31"/>
      <c r="J315" s="31"/>
      <c r="K315" s="31"/>
      <c r="L315" s="31"/>
      <c r="M315" s="31"/>
      <c r="N315" s="31"/>
      <c r="O315" s="31"/>
      <c r="P315" s="32"/>
    </row>
    <row r="316" spans="2:16" ht="22.8">
      <c r="B316" s="23" t="s">
        <v>703</v>
      </c>
      <c r="C316" s="24" t="s">
        <v>279</v>
      </c>
      <c r="D316" s="22"/>
      <c r="E316" s="24">
        <v>1100</v>
      </c>
      <c r="F316" s="22"/>
      <c r="G316" s="27" t="s">
        <v>700</v>
      </c>
      <c r="H316" s="31"/>
      <c r="I316" s="31"/>
      <c r="J316" s="31"/>
      <c r="K316" s="31"/>
      <c r="L316" s="31"/>
      <c r="M316" s="31"/>
      <c r="N316" s="31"/>
      <c r="O316" s="31"/>
      <c r="P316" s="32"/>
    </row>
    <row r="317" spans="2:16" ht="22.8">
      <c r="B317" s="23" t="s">
        <v>701</v>
      </c>
      <c r="C317" s="24" t="s">
        <v>279</v>
      </c>
      <c r="D317" s="22"/>
      <c r="E317" s="24">
        <v>600</v>
      </c>
      <c r="F317" s="22"/>
      <c r="G317" s="27" t="s">
        <v>700</v>
      </c>
      <c r="H317" s="31"/>
      <c r="I317" s="31"/>
      <c r="J317" s="31"/>
      <c r="K317" s="31"/>
      <c r="L317" s="31"/>
      <c r="M317" s="31"/>
      <c r="N317" s="31"/>
      <c r="O317" s="31"/>
      <c r="P317" s="32"/>
    </row>
    <row r="318" spans="2:16" ht="22.8">
      <c r="B318" s="23" t="s">
        <v>702</v>
      </c>
      <c r="C318" s="24" t="s">
        <v>279</v>
      </c>
      <c r="D318" s="22"/>
      <c r="E318" s="24">
        <v>1100</v>
      </c>
      <c r="F318" s="22"/>
      <c r="G318" s="27" t="s">
        <v>700</v>
      </c>
      <c r="H318" s="31"/>
      <c r="I318" s="31"/>
      <c r="J318" s="31"/>
      <c r="K318" s="31"/>
      <c r="L318" s="31"/>
      <c r="M318" s="31"/>
      <c r="N318" s="31"/>
      <c r="O318" s="31"/>
      <c r="P318" s="32"/>
    </row>
    <row r="319" spans="2:16">
      <c r="H319" s="31"/>
      <c r="I319" s="31"/>
      <c r="J319" s="31"/>
      <c r="K319" s="31"/>
      <c r="L319" s="31"/>
      <c r="M319" s="31"/>
      <c r="N319" s="31"/>
      <c r="O319" s="31"/>
      <c r="P319" s="32"/>
    </row>
    <row r="320" spans="2:16">
      <c r="B320" s="15" t="s">
        <v>283</v>
      </c>
      <c r="H320" s="31"/>
      <c r="I320" s="31"/>
      <c r="J320" s="31"/>
      <c r="K320" s="31"/>
      <c r="L320" s="31"/>
      <c r="M320" s="31"/>
      <c r="N320" s="31"/>
      <c r="O320" s="31"/>
      <c r="P320" s="32"/>
    </row>
    <row r="321" spans="2:16" ht="34.200000000000003">
      <c r="B321" s="34" t="s">
        <v>207</v>
      </c>
      <c r="C321" s="24" t="s">
        <v>284</v>
      </c>
      <c r="D321" s="24" t="s">
        <v>285</v>
      </c>
      <c r="H321" s="31"/>
      <c r="I321" s="31"/>
      <c r="J321" s="31"/>
      <c r="K321" s="31"/>
      <c r="L321" s="31"/>
      <c r="M321" s="31"/>
      <c r="N321" s="31"/>
      <c r="O321" s="31"/>
      <c r="P321" s="32"/>
    </row>
    <row r="322" spans="2:16">
      <c r="B322" s="34" t="s">
        <v>286</v>
      </c>
      <c r="C322" s="24">
        <v>15</v>
      </c>
      <c r="D322" s="24">
        <v>100</v>
      </c>
      <c r="H322" s="31"/>
      <c r="I322" s="31"/>
      <c r="J322" s="31"/>
      <c r="K322" s="31"/>
      <c r="L322" s="31"/>
      <c r="M322" s="31"/>
      <c r="N322" s="31"/>
      <c r="O322" s="31"/>
      <c r="P322" s="32"/>
    </row>
    <row r="323" spans="2:16">
      <c r="B323" s="34" t="s">
        <v>248</v>
      </c>
      <c r="C323" s="24">
        <v>18</v>
      </c>
      <c r="D323" s="24">
        <v>75</v>
      </c>
      <c r="H323" s="30"/>
    </row>
    <row r="324" spans="2:16">
      <c r="B324" s="34" t="s">
        <v>287</v>
      </c>
      <c r="C324" s="24">
        <v>18</v>
      </c>
      <c r="D324" s="24">
        <v>75</v>
      </c>
      <c r="H324" s="30"/>
    </row>
    <row r="325" spans="2:16">
      <c r="B325" s="34" t="s">
        <v>288</v>
      </c>
      <c r="C325" s="24">
        <v>60</v>
      </c>
      <c r="D325" s="24">
        <v>0</v>
      </c>
      <c r="H325" s="30"/>
    </row>
    <row r="326" spans="2:16">
      <c r="B326" s="34" t="s">
        <v>289</v>
      </c>
      <c r="C326" s="24">
        <v>20</v>
      </c>
      <c r="D326" s="24">
        <v>0</v>
      </c>
      <c r="H326" s="30"/>
    </row>
    <row r="327" spans="2:16">
      <c r="B327" s="34" t="s">
        <v>290</v>
      </c>
      <c r="C327" s="24">
        <v>10</v>
      </c>
      <c r="D327" s="24">
        <v>0</v>
      </c>
      <c r="H327" s="30"/>
    </row>
    <row r="328" spans="2:16">
      <c r="B328" s="34" t="s">
        <v>291</v>
      </c>
      <c r="C328" s="24">
        <v>20</v>
      </c>
      <c r="D328" s="24">
        <v>25</v>
      </c>
      <c r="H328" s="30"/>
    </row>
    <row r="329" spans="2:16">
      <c r="H329" s="30"/>
    </row>
    <row r="330" spans="2:16">
      <c r="B330" s="15" t="s">
        <v>292</v>
      </c>
      <c r="H330" s="30"/>
    </row>
    <row r="331" spans="2:16">
      <c r="H331" s="30"/>
    </row>
    <row r="332" spans="2:16">
      <c r="H332" s="30"/>
    </row>
    <row r="333" spans="2:16">
      <c r="H333" s="30"/>
    </row>
    <row r="334" spans="2:16">
      <c r="H334" s="30"/>
    </row>
    <row r="335" spans="2:16">
      <c r="H335" s="30"/>
    </row>
    <row r="357" spans="2:36">
      <c r="B357" s="27" t="s">
        <v>293</v>
      </c>
    </row>
    <row r="358" spans="2:36">
      <c r="B358" s="35" t="s">
        <v>294</v>
      </c>
      <c r="C358" s="36">
        <v>2017</v>
      </c>
      <c r="D358" s="36">
        <v>2018</v>
      </c>
      <c r="E358" s="36">
        <v>2019</v>
      </c>
      <c r="F358" s="36">
        <v>2020</v>
      </c>
      <c r="G358" s="36">
        <v>2021</v>
      </c>
      <c r="H358" s="36">
        <v>2022</v>
      </c>
      <c r="I358" s="36">
        <v>2023</v>
      </c>
      <c r="J358" s="36">
        <v>2024</v>
      </c>
      <c r="K358" s="36">
        <v>2025</v>
      </c>
      <c r="L358" s="36">
        <v>2026</v>
      </c>
      <c r="M358" s="36">
        <v>2027</v>
      </c>
      <c r="N358" s="36">
        <v>2028</v>
      </c>
      <c r="O358" s="36">
        <v>2029</v>
      </c>
      <c r="P358" s="36">
        <v>2030</v>
      </c>
      <c r="Q358" s="36">
        <v>2031</v>
      </c>
      <c r="R358" s="36">
        <v>2032</v>
      </c>
      <c r="S358" s="36">
        <v>2033</v>
      </c>
      <c r="T358" s="36">
        <v>2034</v>
      </c>
      <c r="U358" s="36">
        <v>2035</v>
      </c>
      <c r="V358" s="36">
        <v>2036</v>
      </c>
      <c r="W358" s="36">
        <v>2037</v>
      </c>
      <c r="X358" s="36">
        <v>2038</v>
      </c>
      <c r="Y358" s="36">
        <v>2039</v>
      </c>
      <c r="Z358" s="36">
        <v>2040</v>
      </c>
      <c r="AA358" s="36">
        <v>2041</v>
      </c>
      <c r="AB358" s="36">
        <v>2042</v>
      </c>
      <c r="AC358" s="36">
        <v>2043</v>
      </c>
      <c r="AD358" s="36">
        <v>2044</v>
      </c>
      <c r="AE358" s="36">
        <v>2045</v>
      </c>
      <c r="AF358" s="36">
        <v>2046</v>
      </c>
      <c r="AG358" s="36">
        <v>2047</v>
      </c>
      <c r="AH358" s="36">
        <v>2048</v>
      </c>
      <c r="AI358" s="36">
        <v>2049</v>
      </c>
      <c r="AJ358" s="36">
        <v>2050</v>
      </c>
    </row>
    <row r="359" spans="2:36">
      <c r="B359" s="21" t="s">
        <v>295</v>
      </c>
      <c r="C359" s="37">
        <v>1</v>
      </c>
      <c r="D359" s="37">
        <f>($P$359-$C$359)/($P$358-$C$358)+C359</f>
        <v>0.99</v>
      </c>
      <c r="E359" s="37">
        <f t="shared" ref="E359:O359" si="25">($P$359-$C$359)/($P$358-$C$358)+D359</f>
        <v>0.98</v>
      </c>
      <c r="F359" s="37">
        <f t="shared" si="25"/>
        <v>0.97</v>
      </c>
      <c r="G359" s="37">
        <f t="shared" si="25"/>
        <v>0.96</v>
      </c>
      <c r="H359" s="37">
        <f t="shared" si="25"/>
        <v>0.95</v>
      </c>
      <c r="I359" s="37">
        <f t="shared" si="25"/>
        <v>0.94</v>
      </c>
      <c r="J359" s="37">
        <f t="shared" si="25"/>
        <v>0.92999999999999994</v>
      </c>
      <c r="K359" s="37">
        <f t="shared" si="25"/>
        <v>0.91999999999999993</v>
      </c>
      <c r="L359" s="37">
        <f t="shared" si="25"/>
        <v>0.90999999999999992</v>
      </c>
      <c r="M359" s="37">
        <f t="shared" si="25"/>
        <v>0.89999999999999991</v>
      </c>
      <c r="N359" s="37">
        <f t="shared" si="25"/>
        <v>0.8899999999999999</v>
      </c>
      <c r="O359" s="37">
        <f t="shared" si="25"/>
        <v>0.87999999999999989</v>
      </c>
      <c r="P359" s="37">
        <v>0.87</v>
      </c>
      <c r="Q359" s="37">
        <v>0.87</v>
      </c>
      <c r="R359" s="37">
        <v>0.87</v>
      </c>
      <c r="S359" s="37">
        <v>0.87</v>
      </c>
      <c r="T359" s="37">
        <v>0.87</v>
      </c>
      <c r="U359" s="37">
        <v>0.87</v>
      </c>
      <c r="V359" s="37">
        <v>0.87</v>
      </c>
      <c r="W359" s="37">
        <v>0.87</v>
      </c>
      <c r="X359" s="37">
        <v>0.87</v>
      </c>
      <c r="Y359" s="37">
        <v>0.87</v>
      </c>
      <c r="Z359" s="37">
        <v>0.87</v>
      </c>
      <c r="AA359" s="37">
        <v>0.87</v>
      </c>
      <c r="AB359" s="37">
        <v>0.87</v>
      </c>
      <c r="AC359" s="37">
        <v>0.87</v>
      </c>
      <c r="AD359" s="37">
        <v>0.87</v>
      </c>
      <c r="AE359" s="37">
        <v>0.87</v>
      </c>
      <c r="AF359" s="37">
        <v>0.87</v>
      </c>
      <c r="AG359" s="37">
        <v>0.87</v>
      </c>
      <c r="AH359" s="37">
        <v>0.87</v>
      </c>
      <c r="AI359" s="37">
        <v>0.87</v>
      </c>
      <c r="AJ359" s="37">
        <v>0.87</v>
      </c>
    </row>
    <row r="360" spans="2:36">
      <c r="B360" s="21" t="s">
        <v>296</v>
      </c>
      <c r="C360" s="37">
        <v>1</v>
      </c>
      <c r="D360" s="37">
        <f>($AJ$360-$C$360)/($AJ$358-$C$358)+C360</f>
        <v>0.99545454545454548</v>
      </c>
      <c r="E360" s="37">
        <f t="shared" ref="E360:AI360" si="26">($AJ$360-$C$360)/($AJ$358-$C$358)+D360</f>
        <v>0.99090909090909096</v>
      </c>
      <c r="F360" s="37">
        <f t="shared" si="26"/>
        <v>0.98636363636363644</v>
      </c>
      <c r="G360" s="37">
        <f t="shared" si="26"/>
        <v>0.98181818181818192</v>
      </c>
      <c r="H360" s="37">
        <f t="shared" si="26"/>
        <v>0.9772727272727274</v>
      </c>
      <c r="I360" s="37">
        <f t="shared" si="26"/>
        <v>0.97272727272727288</v>
      </c>
      <c r="J360" s="37">
        <f t="shared" si="26"/>
        <v>0.96818181818181837</v>
      </c>
      <c r="K360" s="37">
        <f t="shared" si="26"/>
        <v>0.96363636363636385</v>
      </c>
      <c r="L360" s="37">
        <f t="shared" si="26"/>
        <v>0.95909090909090933</v>
      </c>
      <c r="M360" s="37">
        <f t="shared" si="26"/>
        <v>0.95454545454545481</v>
      </c>
      <c r="N360" s="37">
        <f t="shared" si="26"/>
        <v>0.95000000000000029</v>
      </c>
      <c r="O360" s="37">
        <f t="shared" si="26"/>
        <v>0.94545454545454577</v>
      </c>
      <c r="P360" s="37">
        <f t="shared" si="26"/>
        <v>0.94090909090909125</v>
      </c>
      <c r="Q360" s="37">
        <f t="shared" si="26"/>
        <v>0.93636363636363673</v>
      </c>
      <c r="R360" s="37">
        <f t="shared" si="26"/>
        <v>0.93181818181818221</v>
      </c>
      <c r="S360" s="37">
        <f t="shared" si="26"/>
        <v>0.92727272727272769</v>
      </c>
      <c r="T360" s="37">
        <f t="shared" si="26"/>
        <v>0.92272727272727317</v>
      </c>
      <c r="U360" s="37">
        <f t="shared" si="26"/>
        <v>0.91818181818181865</v>
      </c>
      <c r="V360" s="37">
        <f t="shared" si="26"/>
        <v>0.91363636363636413</v>
      </c>
      <c r="W360" s="37">
        <f t="shared" si="26"/>
        <v>0.90909090909090962</v>
      </c>
      <c r="X360" s="37">
        <f t="shared" si="26"/>
        <v>0.9045454545454551</v>
      </c>
      <c r="Y360" s="37">
        <f t="shared" si="26"/>
        <v>0.90000000000000058</v>
      </c>
      <c r="Z360" s="37">
        <f t="shared" si="26"/>
        <v>0.89545454545454606</v>
      </c>
      <c r="AA360" s="37">
        <f t="shared" si="26"/>
        <v>0.89090909090909154</v>
      </c>
      <c r="AB360" s="37">
        <f t="shared" si="26"/>
        <v>0.88636363636363702</v>
      </c>
      <c r="AC360" s="37">
        <f t="shared" si="26"/>
        <v>0.8818181818181825</v>
      </c>
      <c r="AD360" s="37">
        <f t="shared" si="26"/>
        <v>0.87727272727272798</v>
      </c>
      <c r="AE360" s="37">
        <f t="shared" si="26"/>
        <v>0.87272727272727346</v>
      </c>
      <c r="AF360" s="37">
        <f t="shared" si="26"/>
        <v>0.86818181818181894</v>
      </c>
      <c r="AG360" s="37">
        <f t="shared" si="26"/>
        <v>0.86363636363636442</v>
      </c>
      <c r="AH360" s="37">
        <f t="shared" si="26"/>
        <v>0.8590909090909099</v>
      </c>
      <c r="AI360" s="37">
        <f t="shared" si="26"/>
        <v>0.85454545454545539</v>
      </c>
      <c r="AJ360" s="37">
        <v>0.85</v>
      </c>
    </row>
    <row r="361" spans="2:36">
      <c r="B361" s="21" t="s">
        <v>297</v>
      </c>
      <c r="C361" s="37">
        <v>1</v>
      </c>
      <c r="D361" s="37">
        <f>($F$361-$C$361)/($F$358-$C$358)+C361</f>
        <v>0.95</v>
      </c>
      <c r="E361" s="37">
        <f>($F$361-$C$361)/($F$358-$C$358)+D361</f>
        <v>0.89999999999999991</v>
      </c>
      <c r="F361" s="37">
        <v>0.85</v>
      </c>
      <c r="G361" s="37">
        <v>0.85</v>
      </c>
      <c r="H361" s="37">
        <v>0.85</v>
      </c>
      <c r="I361" s="37">
        <v>0.85</v>
      </c>
      <c r="J361" s="37">
        <v>0.85</v>
      </c>
      <c r="K361" s="37">
        <v>0.85</v>
      </c>
      <c r="L361" s="37">
        <v>0.85</v>
      </c>
      <c r="M361" s="37">
        <v>0.85</v>
      </c>
      <c r="N361" s="37">
        <v>0.85</v>
      </c>
      <c r="O361" s="37">
        <v>0.85</v>
      </c>
      <c r="P361" s="37">
        <v>0.85</v>
      </c>
      <c r="Q361" s="37">
        <v>0.85</v>
      </c>
      <c r="R361" s="37">
        <v>0.85</v>
      </c>
      <c r="S361" s="37">
        <v>0.85</v>
      </c>
      <c r="T361" s="37">
        <v>0.85</v>
      </c>
      <c r="U361" s="37">
        <v>0.85</v>
      </c>
      <c r="V361" s="37">
        <v>0.85</v>
      </c>
      <c r="W361" s="37">
        <v>0.85</v>
      </c>
      <c r="X361" s="37">
        <v>0.85</v>
      </c>
      <c r="Y361" s="37">
        <v>0.85</v>
      </c>
      <c r="Z361" s="37">
        <v>0.85</v>
      </c>
      <c r="AA361" s="37">
        <v>0.85</v>
      </c>
      <c r="AB361" s="37">
        <v>0.85</v>
      </c>
      <c r="AC361" s="37">
        <v>0.85</v>
      </c>
      <c r="AD361" s="37">
        <v>0.85</v>
      </c>
      <c r="AE361" s="37">
        <v>0.85</v>
      </c>
      <c r="AF361" s="37">
        <v>0.85</v>
      </c>
      <c r="AG361" s="37">
        <v>0.85</v>
      </c>
      <c r="AH361" s="37">
        <v>0.85</v>
      </c>
      <c r="AI361" s="37">
        <v>0.85</v>
      </c>
      <c r="AJ361" s="37">
        <v>0.85</v>
      </c>
    </row>
    <row r="362" spans="2:36">
      <c r="B362" s="21" t="s">
        <v>277</v>
      </c>
      <c r="C362" s="37">
        <v>1</v>
      </c>
      <c r="D362" s="37">
        <v>0.92</v>
      </c>
      <c r="E362" s="37">
        <v>0.85</v>
      </c>
      <c r="F362" s="37">
        <v>0.8</v>
      </c>
      <c r="G362" s="37">
        <v>0.76</v>
      </c>
      <c r="H362" s="37">
        <v>0.72</v>
      </c>
      <c r="I362" s="37">
        <v>0.69</v>
      </c>
      <c r="J362" s="37">
        <v>0.67</v>
      </c>
      <c r="K362" s="37">
        <v>0.65</v>
      </c>
      <c r="L362" s="37">
        <v>0.63</v>
      </c>
      <c r="M362" s="37">
        <v>0.61</v>
      </c>
      <c r="N362" s="37">
        <v>0.59</v>
      </c>
      <c r="O362" s="37">
        <v>0.56999999999999995</v>
      </c>
      <c r="P362" s="37">
        <v>0.55000000000000004</v>
      </c>
      <c r="Q362" s="37">
        <v>0.54</v>
      </c>
      <c r="R362" s="37">
        <v>0.53</v>
      </c>
      <c r="S362" s="37">
        <f>($Z$362-$R$362)/($Z$358-$R$358)+R362</f>
        <v>0.52124999999999999</v>
      </c>
      <c r="T362" s="37">
        <f t="shared" ref="T362:Y362" si="27">($Z$362-$R$362)/($Z$358-$R$358)+S362</f>
        <v>0.51249999999999996</v>
      </c>
      <c r="U362" s="37">
        <f t="shared" si="27"/>
        <v>0.50374999999999992</v>
      </c>
      <c r="V362" s="37">
        <f t="shared" si="27"/>
        <v>0.49499999999999994</v>
      </c>
      <c r="W362" s="37">
        <f t="shared" si="27"/>
        <v>0.48624999999999996</v>
      </c>
      <c r="X362" s="37">
        <f t="shared" si="27"/>
        <v>0.47749999999999998</v>
      </c>
      <c r="Y362" s="37">
        <f t="shared" si="27"/>
        <v>0.46875</v>
      </c>
      <c r="Z362" s="37">
        <v>0.46</v>
      </c>
      <c r="AA362" s="37">
        <f>($AJ$362-$Z$362)/($AJ$358-$Z$358)+Z362</f>
        <v>0.45600000000000002</v>
      </c>
      <c r="AB362" s="37">
        <f t="shared" ref="AB362:AI362" si="28">($AJ$362-$Z$362)/($AJ$358-$Z$358)+AA362</f>
        <v>0.45200000000000001</v>
      </c>
      <c r="AC362" s="37">
        <f t="shared" si="28"/>
        <v>0.44800000000000001</v>
      </c>
      <c r="AD362" s="37">
        <f t="shared" si="28"/>
        <v>0.44400000000000001</v>
      </c>
      <c r="AE362" s="37">
        <f t="shared" si="28"/>
        <v>0.44</v>
      </c>
      <c r="AF362" s="37">
        <f t="shared" si="28"/>
        <v>0.436</v>
      </c>
      <c r="AG362" s="37">
        <f t="shared" si="28"/>
        <v>0.432</v>
      </c>
      <c r="AH362" s="37">
        <f t="shared" si="28"/>
        <v>0.42799999999999999</v>
      </c>
      <c r="AI362" s="37">
        <f t="shared" si="28"/>
        <v>0.42399999999999999</v>
      </c>
      <c r="AJ362" s="37">
        <v>0.42</v>
      </c>
    </row>
    <row r="363" spans="2:36">
      <c r="B363" s="21" t="s">
        <v>20</v>
      </c>
      <c r="C363" s="37">
        <v>1</v>
      </c>
      <c r="D363" s="37">
        <f>($P$363-$C$363)/($P$358-$C$358)+C363</f>
        <v>0.99153846153846159</v>
      </c>
      <c r="E363" s="37">
        <f t="shared" ref="E363:O363" si="29">($P$363-$C$363)/($P$358-$C$358)+D363</f>
        <v>0.98307692307692318</v>
      </c>
      <c r="F363" s="37">
        <f t="shared" si="29"/>
        <v>0.97461538461538477</v>
      </c>
      <c r="G363" s="37">
        <f t="shared" si="29"/>
        <v>0.96615384615384636</v>
      </c>
      <c r="H363" s="37">
        <f t="shared" si="29"/>
        <v>0.95769230769230795</v>
      </c>
      <c r="I363" s="37">
        <f t="shared" si="29"/>
        <v>0.94923076923076954</v>
      </c>
      <c r="J363" s="37">
        <f t="shared" si="29"/>
        <v>0.94076923076923114</v>
      </c>
      <c r="K363" s="37">
        <f t="shared" si="29"/>
        <v>0.93230769230769273</v>
      </c>
      <c r="L363" s="37">
        <f t="shared" si="29"/>
        <v>0.92384615384615432</v>
      </c>
      <c r="M363" s="37">
        <f t="shared" si="29"/>
        <v>0.91538461538461591</v>
      </c>
      <c r="N363" s="37">
        <f t="shared" si="29"/>
        <v>0.9069230769230775</v>
      </c>
      <c r="O363" s="37">
        <f t="shared" si="29"/>
        <v>0.89846153846153909</v>
      </c>
      <c r="P363" s="37">
        <v>0.89</v>
      </c>
      <c r="Q363" s="37">
        <f>($Z$363-$P$363)/($Z$358-$P$358)+P363</f>
        <v>0.88500000000000001</v>
      </c>
      <c r="R363" s="37">
        <f t="shared" ref="R363:Y363" si="30">($Z$363-$P$363)/($Z$358-$P$358)+Q363</f>
        <v>0.88</v>
      </c>
      <c r="S363" s="37">
        <f t="shared" si="30"/>
        <v>0.875</v>
      </c>
      <c r="T363" s="37">
        <f t="shared" si="30"/>
        <v>0.87</v>
      </c>
      <c r="U363" s="37">
        <f t="shared" si="30"/>
        <v>0.86499999999999999</v>
      </c>
      <c r="V363" s="37">
        <f t="shared" si="30"/>
        <v>0.86</v>
      </c>
      <c r="W363" s="37">
        <f t="shared" si="30"/>
        <v>0.85499999999999998</v>
      </c>
      <c r="X363" s="37">
        <f t="shared" si="30"/>
        <v>0.85</v>
      </c>
      <c r="Y363" s="37">
        <f t="shared" si="30"/>
        <v>0.84499999999999997</v>
      </c>
      <c r="Z363" s="37">
        <v>0.84</v>
      </c>
      <c r="AA363" s="37">
        <f>($AJ$363-$Z$363)/($AJ$358-$Z$358)+Z363</f>
        <v>0.83699999999999997</v>
      </c>
      <c r="AB363" s="37">
        <f t="shared" ref="AB363:AI363" si="31">($AJ$363-$Z$363)/($AJ$358-$Z$358)+AA363</f>
        <v>0.83399999999999996</v>
      </c>
      <c r="AC363" s="37">
        <f t="shared" si="31"/>
        <v>0.83099999999999996</v>
      </c>
      <c r="AD363" s="37">
        <f t="shared" si="31"/>
        <v>0.82799999999999996</v>
      </c>
      <c r="AE363" s="37">
        <f t="shared" si="31"/>
        <v>0.82499999999999996</v>
      </c>
      <c r="AF363" s="37">
        <f t="shared" si="31"/>
        <v>0.82199999999999995</v>
      </c>
      <c r="AG363" s="37">
        <f t="shared" si="31"/>
        <v>0.81899999999999995</v>
      </c>
      <c r="AH363" s="37">
        <f t="shared" si="31"/>
        <v>0.81599999999999995</v>
      </c>
      <c r="AI363" s="37">
        <f t="shared" si="31"/>
        <v>0.81299999999999994</v>
      </c>
      <c r="AJ363" s="37">
        <v>0.81</v>
      </c>
    </row>
    <row r="364" spans="2:36">
      <c r="B364" s="21" t="s">
        <v>298</v>
      </c>
      <c r="C364" s="37">
        <v>1</v>
      </c>
      <c r="D364" s="37">
        <v>1</v>
      </c>
      <c r="E364" s="37">
        <v>1</v>
      </c>
      <c r="F364" s="37">
        <v>1</v>
      </c>
      <c r="G364" s="37">
        <f>($K$364-$F$364)/($K$358-$F$358)+F364</f>
        <v>0.98199999999999998</v>
      </c>
      <c r="H364" s="37">
        <f t="shared" ref="H364:J364" si="32">($K$364-$F$364)/($K$358-$F$358)+G364</f>
        <v>0.96399999999999997</v>
      </c>
      <c r="I364" s="37">
        <f t="shared" si="32"/>
        <v>0.94599999999999995</v>
      </c>
      <c r="J364" s="37">
        <f t="shared" si="32"/>
        <v>0.92799999999999994</v>
      </c>
      <c r="K364" s="37">
        <v>0.91</v>
      </c>
      <c r="L364" s="37">
        <f>($P$364-$K$364)/($P$358-$K$358)+K364</f>
        <v>0.9</v>
      </c>
      <c r="M364" s="37">
        <f t="shared" ref="M364:O364" si="33">($P$364-$K$364)/($P$358-$K$358)+L364</f>
        <v>0.89</v>
      </c>
      <c r="N364" s="37">
        <f t="shared" si="33"/>
        <v>0.88</v>
      </c>
      <c r="O364" s="37">
        <f t="shared" si="33"/>
        <v>0.87</v>
      </c>
      <c r="P364" s="37">
        <v>0.86</v>
      </c>
      <c r="Q364" s="37">
        <f>($U$364-$P$364)/($U$358-$P$358)+P364</f>
        <v>0.85399999999999998</v>
      </c>
      <c r="R364" s="37">
        <f t="shared" ref="R364:T364" si="34">($U$364-$P$364)/($U$358-$P$358)+Q364</f>
        <v>0.84799999999999998</v>
      </c>
      <c r="S364" s="37">
        <f t="shared" si="34"/>
        <v>0.84199999999999997</v>
      </c>
      <c r="T364" s="37">
        <f t="shared" si="34"/>
        <v>0.83599999999999997</v>
      </c>
      <c r="U364" s="37">
        <v>0.83</v>
      </c>
      <c r="V364" s="37">
        <f>($Z$364-$U$364)/($Z$358-$U$358)+U364</f>
        <v>0.82399999999999995</v>
      </c>
      <c r="W364" s="37">
        <f t="shared" ref="W364:Y364" si="35">($Z$364-$U$364)/($Z$358-$U$358)+V364</f>
        <v>0.81799999999999995</v>
      </c>
      <c r="X364" s="37">
        <f t="shared" si="35"/>
        <v>0.81199999999999994</v>
      </c>
      <c r="Y364" s="37">
        <f t="shared" si="35"/>
        <v>0.80599999999999994</v>
      </c>
      <c r="Z364" s="37">
        <v>0.8</v>
      </c>
      <c r="AA364" s="37">
        <f>($AE$364-$Z$364)/($AE$358-$Z$358)+Z364</f>
        <v>0.79800000000000004</v>
      </c>
      <c r="AB364" s="37">
        <f t="shared" ref="AB364:AD364" si="36">($AE$364-$Z$364)/($AE$358-$Z$358)+AA364</f>
        <v>0.79600000000000004</v>
      </c>
      <c r="AC364" s="37">
        <f t="shared" si="36"/>
        <v>0.79400000000000004</v>
      </c>
      <c r="AD364" s="37">
        <f t="shared" si="36"/>
        <v>0.79200000000000004</v>
      </c>
      <c r="AE364" s="37">
        <v>0.79</v>
      </c>
      <c r="AF364" s="37">
        <f>($AJ$364-$AE$364)/($AJ$358-$AE$358)+AE364</f>
        <v>0.78600000000000003</v>
      </c>
      <c r="AG364" s="37">
        <f t="shared" ref="AG364:AI364" si="37">($AJ$364-$AE$364)/($AJ$358-$AE$358)+AF364</f>
        <v>0.78200000000000003</v>
      </c>
      <c r="AH364" s="37">
        <f t="shared" si="37"/>
        <v>0.77800000000000002</v>
      </c>
      <c r="AI364" s="37">
        <f t="shared" si="37"/>
        <v>0.77400000000000002</v>
      </c>
      <c r="AJ364" s="37">
        <v>0.77</v>
      </c>
    </row>
    <row r="366" spans="2:36">
      <c r="B366" s="27" t="s">
        <v>299</v>
      </c>
    </row>
    <row r="387" spans="2:10">
      <c r="B387" s="27" t="s">
        <v>300</v>
      </c>
      <c r="C387" s="16">
        <v>3.5</v>
      </c>
    </row>
    <row r="389" spans="2:10" ht="28.8">
      <c r="C389" s="13" t="s">
        <v>17</v>
      </c>
      <c r="D389" s="13" t="s">
        <v>90</v>
      </c>
      <c r="E389" s="13" t="s">
        <v>91</v>
      </c>
      <c r="F389" s="13" t="s">
        <v>92</v>
      </c>
      <c r="G389" s="13" t="s">
        <v>93</v>
      </c>
      <c r="H389" s="13" t="s">
        <v>94</v>
      </c>
      <c r="I389" s="13" t="s">
        <v>95</v>
      </c>
      <c r="J389" s="13" t="s">
        <v>96</v>
      </c>
    </row>
    <row r="390" spans="2:10">
      <c r="B390" s="27" t="s">
        <v>301</v>
      </c>
      <c r="C390" s="38">
        <v>0.89</v>
      </c>
      <c r="D390" s="38">
        <v>0.89</v>
      </c>
      <c r="E390" s="38">
        <f>89%*(1-0.09)</f>
        <v>0.80990000000000006</v>
      </c>
      <c r="F390" s="38">
        <f t="shared" ref="F390:G390" si="38">89%*(1-0.09)</f>
        <v>0.80990000000000006</v>
      </c>
      <c r="G390" s="38">
        <f t="shared" si="38"/>
        <v>0.80990000000000006</v>
      </c>
      <c r="H390" s="38">
        <v>0.89</v>
      </c>
      <c r="I390" s="38">
        <v>0.89</v>
      </c>
      <c r="J390" s="38">
        <v>0.89</v>
      </c>
    </row>
    <row r="391" spans="2:10">
      <c r="B391" s="27" t="s">
        <v>302</v>
      </c>
      <c r="C391" s="38">
        <f>C390</f>
        <v>0.89</v>
      </c>
      <c r="D391" s="38">
        <f t="shared" ref="D391:J391" si="39">D390</f>
        <v>0.89</v>
      </c>
      <c r="E391" s="38">
        <f t="shared" si="39"/>
        <v>0.80990000000000006</v>
      </c>
      <c r="F391" s="38">
        <f t="shared" si="39"/>
        <v>0.80990000000000006</v>
      </c>
      <c r="G391" s="38">
        <f t="shared" si="39"/>
        <v>0.80990000000000006</v>
      </c>
      <c r="H391" s="38">
        <f t="shared" si="39"/>
        <v>0.89</v>
      </c>
      <c r="I391" s="38">
        <f t="shared" si="39"/>
        <v>0.89</v>
      </c>
      <c r="J391" s="38">
        <f t="shared" si="39"/>
        <v>0.89</v>
      </c>
    </row>
    <row r="392" spans="2:10">
      <c r="B392" s="27" t="s">
        <v>303</v>
      </c>
      <c r="C392" s="38">
        <f>$C$387</f>
        <v>3.5</v>
      </c>
      <c r="D392" s="38">
        <f>$C$387</f>
        <v>3.5</v>
      </c>
      <c r="E392" s="38">
        <f>(($C$387*0.7)+(0.89*0.3))*(1-0.09)</f>
        <v>2.4724699999999999</v>
      </c>
      <c r="F392" s="38">
        <f t="shared" ref="F392:G392" si="40">(($C$387*0.7)+(0.89*0.3))*(1-0.09)</f>
        <v>2.4724699999999999</v>
      </c>
      <c r="G392" s="38">
        <f t="shared" si="40"/>
        <v>2.4724699999999999</v>
      </c>
      <c r="H392" s="38">
        <f>$C$387</f>
        <v>3.5</v>
      </c>
      <c r="I392" s="38">
        <f>$C$387</f>
        <v>3.5</v>
      </c>
      <c r="J392" s="38">
        <f>$C$387</f>
        <v>3.5</v>
      </c>
    </row>
    <row r="393" spans="2:10">
      <c r="B393" s="27" t="s">
        <v>304</v>
      </c>
      <c r="C393" s="38">
        <v>2.2999999999999998</v>
      </c>
      <c r="D393" s="38">
        <v>2.2999999999999998</v>
      </c>
      <c r="E393" s="38">
        <f>((2.3*0.7)+(0.89*0.3))*(1-0.09)</f>
        <v>1.7080699999999998</v>
      </c>
      <c r="F393" s="38">
        <f t="shared" ref="F393:G393" si="41">((2.3*0.7)+(0.89*0.3))*(1-0.09)</f>
        <v>1.7080699999999998</v>
      </c>
      <c r="G393" s="38">
        <f t="shared" si="41"/>
        <v>1.7080699999999998</v>
      </c>
      <c r="H393" s="38">
        <v>2.2999999999999998</v>
      </c>
      <c r="I393" s="38">
        <v>2.2999999999999998</v>
      </c>
      <c r="J393" s="38">
        <v>2.2999999999999998</v>
      </c>
    </row>
    <row r="394" spans="2:10">
      <c r="B394" s="27" t="s">
        <v>305</v>
      </c>
      <c r="C394" s="16" t="e">
        <f>#REF!</f>
        <v>#REF!</v>
      </c>
      <c r="D394" s="16" t="e">
        <f>#REF!</f>
        <v>#REF!</v>
      </c>
      <c r="E394" s="16" t="e">
        <f>(#REF!*0.7)+(#REF!*0.3)</f>
        <v>#REF!</v>
      </c>
      <c r="F394" s="16" t="e">
        <f>(#REF!*0.7)+(#REF!*0.3)</f>
        <v>#REF!</v>
      </c>
      <c r="G394" s="16" t="e">
        <f>(#REF!*0.7)+(#REF!*0.3)</f>
        <v>#REF!</v>
      </c>
      <c r="H394" s="16" t="e">
        <f>#REF!</f>
        <v>#REF!</v>
      </c>
      <c r="I394" s="16" t="e">
        <f>#REF!</f>
        <v>#REF!</v>
      </c>
      <c r="J394" s="16" t="e">
        <f>#REF!</f>
        <v>#REF!</v>
      </c>
    </row>
    <row r="395" spans="2:10">
      <c r="B395" s="27" t="s">
        <v>306</v>
      </c>
      <c r="C395" s="16" t="e">
        <f>#REF!</f>
        <v>#REF!</v>
      </c>
      <c r="D395" s="16" t="e">
        <f>#REF!</f>
        <v>#REF!</v>
      </c>
      <c r="E395" s="16" t="e">
        <f>(#REF!*0.7)+(#REF!*0.3)</f>
        <v>#REF!</v>
      </c>
      <c r="F395" s="16" t="e">
        <f>(#REF!*0.7)+(#REF!*0.3)</f>
        <v>#REF!</v>
      </c>
      <c r="G395" s="16" t="e">
        <f>(#REF!*0.7)+(#REF!*0.3)</f>
        <v>#REF!</v>
      </c>
      <c r="H395" s="16" t="e">
        <f>#REF!</f>
        <v>#REF!</v>
      </c>
      <c r="I395" s="16" t="e">
        <f>#REF!</f>
        <v>#REF!</v>
      </c>
      <c r="J395" s="16" t="e">
        <f>#REF!</f>
        <v>#REF!</v>
      </c>
    </row>
    <row r="396" spans="2:10">
      <c r="B396" s="27" t="s">
        <v>307</v>
      </c>
      <c r="C396" s="39">
        <f>C390/C392</f>
        <v>0.25428571428571428</v>
      </c>
      <c r="D396" s="39">
        <f t="shared" ref="D396:J397" si="42">D390/D392</f>
        <v>0.25428571428571428</v>
      </c>
      <c r="E396" s="39">
        <f t="shared" si="42"/>
        <v>0.32756716967243288</v>
      </c>
      <c r="F396" s="39">
        <f t="shared" si="42"/>
        <v>0.32756716967243288</v>
      </c>
      <c r="G396" s="39">
        <f t="shared" si="42"/>
        <v>0.32756716967243288</v>
      </c>
      <c r="H396" s="39">
        <f t="shared" si="42"/>
        <v>0.25428571428571428</v>
      </c>
      <c r="I396" s="39">
        <f t="shared" si="42"/>
        <v>0.25428571428571428</v>
      </c>
      <c r="J396" s="39">
        <f t="shared" si="42"/>
        <v>0.25428571428571428</v>
      </c>
    </row>
    <row r="397" spans="2:10">
      <c r="B397" s="27" t="s">
        <v>308</v>
      </c>
      <c r="C397" s="39">
        <f>C391/C393</f>
        <v>0.38695652173913048</v>
      </c>
      <c r="D397" s="39">
        <f t="shared" si="42"/>
        <v>0.38695652173913048</v>
      </c>
      <c r="E397" s="39">
        <f t="shared" si="42"/>
        <v>0.47416089504528514</v>
      </c>
      <c r="F397" s="39">
        <f t="shared" si="42"/>
        <v>0.47416089504528514</v>
      </c>
      <c r="G397" s="39">
        <f t="shared" si="42"/>
        <v>0.47416089504528514</v>
      </c>
      <c r="H397" s="39">
        <f t="shared" si="42"/>
        <v>0.38695652173913048</v>
      </c>
      <c r="I397" s="39">
        <f t="shared" si="42"/>
        <v>0.38695652173913048</v>
      </c>
      <c r="J397" s="39">
        <f t="shared" si="42"/>
        <v>0.38695652173913048</v>
      </c>
    </row>
  </sheetData>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2:CX247"/>
  <sheetViews>
    <sheetView topLeftCell="A187" zoomScale="130" zoomScaleNormal="130" workbookViewId="0">
      <selection activeCell="B210" sqref="B210"/>
    </sheetView>
  </sheetViews>
  <sheetFormatPr defaultRowHeight="14.4"/>
  <cols>
    <col min="2" max="2" width="53.21875" customWidth="1"/>
    <col min="3" max="3" width="12.5546875" bestFit="1" customWidth="1"/>
    <col min="4" max="4" width="14" customWidth="1"/>
    <col min="5" max="6" width="11.44140625" bestFit="1" customWidth="1"/>
  </cols>
  <sheetData>
    <row r="2" spans="2:21">
      <c r="B2" s="1" t="s">
        <v>860</v>
      </c>
    </row>
    <row r="3" spans="2:21">
      <c r="B3" s="1"/>
    </row>
    <row r="4" spans="2:21">
      <c r="B4" s="1" t="s">
        <v>747</v>
      </c>
    </row>
    <row r="5" spans="2:21" s="4" customFormat="1">
      <c r="B5" s="196" t="s">
        <v>27</v>
      </c>
      <c r="C5" s="10" t="s">
        <v>422</v>
      </c>
      <c r="D5" s="10" t="s">
        <v>423</v>
      </c>
    </row>
    <row r="6" spans="2:21">
      <c r="B6" t="s">
        <v>419</v>
      </c>
      <c r="C6" s="66">
        <v>0.21</v>
      </c>
      <c r="D6" s="66">
        <v>1.1299999999999999</v>
      </c>
    </row>
    <row r="7" spans="2:21">
      <c r="B7" t="s">
        <v>420</v>
      </c>
      <c r="C7" s="64">
        <v>0.24099999999999999</v>
      </c>
      <c r="D7" s="66">
        <v>1.141</v>
      </c>
    </row>
    <row r="8" spans="2:21">
      <c r="B8" t="s">
        <v>421</v>
      </c>
      <c r="C8" s="64">
        <v>0.29799999999999999</v>
      </c>
      <c r="D8" s="66">
        <v>1.18</v>
      </c>
    </row>
    <row r="9" spans="2:21">
      <c r="B9" t="s">
        <v>523</v>
      </c>
      <c r="C9" s="77">
        <v>0.13600000000000001</v>
      </c>
      <c r="D9" s="66">
        <v>1.5009999999999999</v>
      </c>
    </row>
    <row r="10" spans="2:21">
      <c r="B10" t="s">
        <v>524</v>
      </c>
      <c r="C10" s="77">
        <v>0.13600000000000001</v>
      </c>
      <c r="D10" s="66">
        <v>0.501</v>
      </c>
    </row>
    <row r="12" spans="2:21">
      <c r="B12" s="1" t="s">
        <v>424</v>
      </c>
      <c r="C12" s="64"/>
      <c r="D12" s="64"/>
      <c r="E12" s="64"/>
      <c r="F12" s="64"/>
      <c r="G12" s="64"/>
      <c r="H12" s="64"/>
      <c r="I12" s="64"/>
      <c r="J12" s="64"/>
      <c r="K12" s="64"/>
      <c r="L12" s="64"/>
      <c r="M12" s="64"/>
      <c r="N12" s="64"/>
      <c r="O12" s="64"/>
    </row>
    <row r="13" spans="2:21">
      <c r="B13" t="s">
        <v>425</v>
      </c>
      <c r="C13" s="70">
        <v>0.89500000000000002</v>
      </c>
      <c r="D13" s="11" t="s">
        <v>426</v>
      </c>
      <c r="E13" s="11"/>
      <c r="F13" s="11"/>
      <c r="G13" s="11"/>
      <c r="H13" s="11"/>
      <c r="I13" s="11"/>
      <c r="J13" s="11"/>
      <c r="K13" s="11"/>
      <c r="L13" s="11"/>
      <c r="M13" s="11"/>
      <c r="N13" s="11"/>
      <c r="O13" s="11"/>
      <c r="P13" s="11"/>
      <c r="Q13" s="11"/>
      <c r="R13" s="11"/>
      <c r="S13" s="11"/>
      <c r="T13" s="11"/>
      <c r="U13" s="11"/>
    </row>
    <row r="14" spans="2:21">
      <c r="B14" t="s">
        <v>427</v>
      </c>
      <c r="C14" s="64"/>
      <c r="D14" s="11" t="s">
        <v>428</v>
      </c>
      <c r="E14" s="11"/>
      <c r="F14" s="11"/>
      <c r="G14" s="11"/>
      <c r="H14" s="11"/>
      <c r="I14" s="11"/>
      <c r="J14" s="11"/>
      <c r="K14" s="11"/>
      <c r="L14" s="11"/>
      <c r="M14" s="11"/>
      <c r="N14" s="11"/>
      <c r="O14" s="11"/>
      <c r="P14" s="11"/>
      <c r="Q14" s="11"/>
      <c r="R14" s="11"/>
      <c r="S14" s="11"/>
      <c r="T14" s="11"/>
      <c r="U14" s="11"/>
    </row>
    <row r="15" spans="2:21">
      <c r="B15" t="s">
        <v>82</v>
      </c>
      <c r="C15" s="64">
        <v>2018</v>
      </c>
      <c r="D15" s="65">
        <v>2019</v>
      </c>
      <c r="E15" s="65">
        <v>2020</v>
      </c>
      <c r="F15" s="65">
        <v>2021</v>
      </c>
      <c r="G15" s="65">
        <v>2022</v>
      </c>
      <c r="H15" s="65">
        <v>2023</v>
      </c>
      <c r="I15" s="65">
        <v>2024</v>
      </c>
      <c r="J15" s="65">
        <v>2025</v>
      </c>
      <c r="K15" s="65">
        <v>2026</v>
      </c>
      <c r="L15" s="65">
        <v>2027</v>
      </c>
      <c r="M15" s="65">
        <v>2028</v>
      </c>
      <c r="N15" s="11"/>
      <c r="O15" s="11"/>
      <c r="P15" s="11"/>
      <c r="Q15" s="11"/>
      <c r="R15" s="11"/>
      <c r="S15" s="11"/>
      <c r="T15" s="11"/>
      <c r="U15" s="11"/>
    </row>
    <row r="16" spans="2:21">
      <c r="B16" t="s">
        <v>429</v>
      </c>
      <c r="C16" s="44">
        <v>3</v>
      </c>
      <c r="D16" s="44">
        <f>C16+0.05</f>
        <v>3.05</v>
      </c>
      <c r="E16" s="44">
        <f t="shared" ref="E16:M16" si="0">D16+0.05</f>
        <v>3.0999999999999996</v>
      </c>
      <c r="F16" s="44">
        <f t="shared" si="0"/>
        <v>3.1499999999999995</v>
      </c>
      <c r="G16" s="44">
        <f t="shared" si="0"/>
        <v>3.1999999999999993</v>
      </c>
      <c r="H16" s="44">
        <f t="shared" si="0"/>
        <v>3.2499999999999991</v>
      </c>
      <c r="I16" s="44">
        <f t="shared" si="0"/>
        <v>3.2999999999999989</v>
      </c>
      <c r="J16" s="44">
        <f t="shared" si="0"/>
        <v>3.3499999999999988</v>
      </c>
      <c r="K16" s="44">
        <f t="shared" si="0"/>
        <v>3.3999999999999986</v>
      </c>
      <c r="L16" s="44">
        <f t="shared" si="0"/>
        <v>3.4499999999999984</v>
      </c>
      <c r="M16" s="44">
        <f t="shared" si="0"/>
        <v>3.4999999999999982</v>
      </c>
      <c r="N16" s="11"/>
      <c r="O16" s="11"/>
      <c r="P16" s="11"/>
      <c r="Q16" s="11"/>
      <c r="R16" s="11"/>
      <c r="S16" s="11"/>
      <c r="T16" s="11"/>
      <c r="U16" s="11"/>
    </row>
    <row r="17" spans="2:21">
      <c r="B17" t="s">
        <v>430</v>
      </c>
      <c r="C17" s="65">
        <f>INPUT!C8</f>
        <v>2026</v>
      </c>
      <c r="D17" s="11"/>
      <c r="E17" s="11"/>
      <c r="F17" s="11"/>
      <c r="G17" s="11"/>
      <c r="H17" s="11"/>
      <c r="I17" s="11"/>
      <c r="J17" s="11"/>
      <c r="K17" s="11"/>
      <c r="L17" s="11"/>
      <c r="M17" s="11"/>
      <c r="N17" s="11"/>
      <c r="O17" s="11"/>
      <c r="P17" s="11"/>
      <c r="Q17" s="11"/>
      <c r="R17" s="11"/>
      <c r="S17" s="11"/>
      <c r="T17" s="11"/>
      <c r="U17" s="11"/>
    </row>
    <row r="18" spans="2:21">
      <c r="B18" t="s">
        <v>432</v>
      </c>
      <c r="C18" s="9">
        <f>HLOOKUP(C17,C15:M16,2,TRUE)</f>
        <v>3.3999999999999986</v>
      </c>
      <c r="D18" s="11"/>
      <c r="E18" s="11"/>
      <c r="F18" s="11"/>
      <c r="G18" s="11"/>
      <c r="H18" s="11"/>
      <c r="I18" s="11"/>
      <c r="J18" s="11"/>
      <c r="K18" s="11"/>
      <c r="L18" s="11"/>
      <c r="M18" s="11"/>
      <c r="N18" s="11"/>
      <c r="O18" s="11"/>
      <c r="P18" s="11"/>
      <c r="Q18" s="11"/>
      <c r="R18" s="11"/>
      <c r="S18" s="11"/>
      <c r="T18" s="11"/>
      <c r="U18" s="11"/>
    </row>
    <row r="19" spans="2:21">
      <c r="B19" t="s">
        <v>433</v>
      </c>
      <c r="C19" s="44">
        <v>2.2999999999999998</v>
      </c>
      <c r="D19" s="11" t="s">
        <v>434</v>
      </c>
      <c r="E19" s="11"/>
      <c r="F19" s="11"/>
      <c r="G19" s="11"/>
      <c r="H19" s="11"/>
      <c r="I19" s="11"/>
      <c r="J19" s="11"/>
      <c r="K19" s="11"/>
      <c r="L19" s="11"/>
      <c r="M19" s="11"/>
      <c r="N19" s="11"/>
      <c r="O19" s="11"/>
      <c r="P19" s="11"/>
      <c r="Q19" s="11"/>
      <c r="R19" s="11"/>
      <c r="S19" s="11"/>
      <c r="T19" s="11"/>
      <c r="U19" s="11"/>
    </row>
    <row r="20" spans="2:21">
      <c r="B20" t="s">
        <v>779</v>
      </c>
      <c r="C20" s="155">
        <v>20</v>
      </c>
      <c r="D20" s="11" t="s">
        <v>780</v>
      </c>
      <c r="E20" s="11" t="s">
        <v>781</v>
      </c>
      <c r="F20" s="11"/>
      <c r="G20" s="11"/>
      <c r="H20" s="11"/>
      <c r="I20" s="11"/>
      <c r="J20" s="11"/>
      <c r="K20" s="11"/>
      <c r="L20" s="11"/>
      <c r="M20" s="11"/>
      <c r="N20" s="11"/>
      <c r="O20" s="11"/>
      <c r="P20" s="11"/>
      <c r="Q20" s="11"/>
      <c r="R20" s="11"/>
      <c r="S20" s="11"/>
      <c r="T20" s="11"/>
      <c r="U20" s="11"/>
    </row>
    <row r="21" spans="2:21">
      <c r="D21" s="11"/>
      <c r="E21" s="11"/>
      <c r="F21" s="11"/>
      <c r="G21" s="11"/>
      <c r="H21" s="11"/>
      <c r="I21" s="11"/>
      <c r="J21" s="11"/>
      <c r="K21" s="11"/>
      <c r="L21" s="11"/>
      <c r="M21" s="11"/>
      <c r="N21" s="11"/>
      <c r="O21" s="11"/>
      <c r="P21" s="11"/>
      <c r="Q21" s="11"/>
      <c r="R21" s="11"/>
      <c r="S21" s="11"/>
      <c r="T21" s="11"/>
      <c r="U21" s="11"/>
    </row>
    <row r="22" spans="2:21">
      <c r="B22" s="1" t="s">
        <v>464</v>
      </c>
      <c r="D22" s="11"/>
      <c r="E22" s="11"/>
      <c r="F22" s="11"/>
      <c r="G22" s="11"/>
      <c r="H22" s="11"/>
      <c r="I22" s="11"/>
      <c r="J22" s="11"/>
      <c r="K22" s="11"/>
      <c r="L22" s="11"/>
      <c r="M22" s="11"/>
      <c r="N22" s="11"/>
      <c r="O22" s="11"/>
      <c r="P22" s="11"/>
      <c r="Q22" s="11"/>
      <c r="R22" s="11"/>
      <c r="S22" s="11"/>
      <c r="T22" s="11"/>
      <c r="U22" s="11"/>
    </row>
    <row r="23" spans="2:21">
      <c r="B23" t="s">
        <v>465</v>
      </c>
      <c r="D23" s="11"/>
      <c r="E23" s="11"/>
      <c r="F23" s="11"/>
      <c r="G23" s="11"/>
      <c r="H23" s="11"/>
      <c r="I23" s="11"/>
      <c r="J23" s="11"/>
      <c r="K23" s="11"/>
      <c r="L23" s="11"/>
      <c r="M23" s="11"/>
      <c r="N23" s="11"/>
      <c r="O23" s="11"/>
      <c r="P23" s="11"/>
      <c r="Q23" s="11"/>
      <c r="R23" s="11"/>
      <c r="S23" s="11"/>
      <c r="T23" s="11"/>
      <c r="U23" s="11"/>
    </row>
    <row r="24" spans="2:21">
      <c r="B24" t="s">
        <v>529</v>
      </c>
      <c r="C24">
        <v>41</v>
      </c>
      <c r="D24" s="11" t="s">
        <v>527</v>
      </c>
      <c r="E24" s="11" t="s">
        <v>528</v>
      </c>
      <c r="F24" s="11"/>
      <c r="G24" s="11"/>
      <c r="H24" s="11"/>
      <c r="I24" s="11"/>
      <c r="J24" s="11"/>
      <c r="K24" s="11"/>
      <c r="L24" s="11"/>
      <c r="M24" s="11"/>
      <c r="N24" s="11"/>
      <c r="O24" s="11"/>
      <c r="P24" s="11"/>
      <c r="Q24" s="11"/>
      <c r="R24" s="11"/>
      <c r="S24" s="11"/>
      <c r="T24" s="11"/>
      <c r="U24" s="11"/>
    </row>
    <row r="25" spans="2:21">
      <c r="B25" t="s">
        <v>530</v>
      </c>
      <c r="C25">
        <v>0</v>
      </c>
      <c r="D25" s="11" t="s">
        <v>527</v>
      </c>
      <c r="E25" s="11" t="s">
        <v>531</v>
      </c>
      <c r="F25" s="11"/>
      <c r="G25" s="11"/>
      <c r="H25" s="11"/>
      <c r="I25" s="11"/>
      <c r="J25" s="11"/>
      <c r="K25" s="11"/>
      <c r="L25" s="11"/>
      <c r="M25" s="11"/>
      <c r="N25" s="11"/>
      <c r="O25" s="11"/>
      <c r="P25" s="11"/>
      <c r="Q25" s="11"/>
      <c r="R25" s="11"/>
      <c r="S25" s="11"/>
      <c r="T25" s="11"/>
      <c r="U25" s="11"/>
    </row>
    <row r="26" spans="2:21">
      <c r="B26" t="s">
        <v>532</v>
      </c>
      <c r="D26" s="11"/>
      <c r="E26" s="11"/>
      <c r="F26" s="11"/>
      <c r="G26" s="11"/>
      <c r="H26" s="11"/>
      <c r="I26" s="11"/>
      <c r="J26" s="11"/>
      <c r="K26" s="11"/>
      <c r="L26" s="11"/>
      <c r="M26" s="11"/>
      <c r="N26" s="11"/>
      <c r="O26" s="11"/>
      <c r="P26" s="11"/>
      <c r="Q26" s="11"/>
      <c r="R26" s="11"/>
      <c r="S26" s="11"/>
      <c r="T26" s="11"/>
      <c r="U26" s="11"/>
    </row>
    <row r="27" spans="2:21" ht="207" customHeight="1">
      <c r="D27" s="11"/>
      <c r="E27" s="11"/>
      <c r="F27" s="11"/>
      <c r="G27" s="11"/>
      <c r="H27" s="11"/>
      <c r="I27" s="11"/>
      <c r="J27" s="11"/>
      <c r="K27" s="11"/>
      <c r="L27" s="11"/>
      <c r="M27" s="11"/>
      <c r="N27" s="11"/>
      <c r="O27" s="11"/>
      <c r="P27" s="11"/>
      <c r="Q27" s="11"/>
      <c r="R27" s="11"/>
      <c r="S27" s="11"/>
      <c r="T27" s="11"/>
      <c r="U27" s="11"/>
    </row>
    <row r="28" spans="2:21">
      <c r="B28" t="s">
        <v>535</v>
      </c>
      <c r="C28">
        <v>0.5</v>
      </c>
      <c r="D28" s="11" t="s">
        <v>23</v>
      </c>
      <c r="E28" s="11" t="s">
        <v>536</v>
      </c>
      <c r="F28" s="11"/>
      <c r="G28" s="11"/>
      <c r="H28" s="11"/>
      <c r="I28" s="11"/>
      <c r="J28" s="11"/>
      <c r="K28" s="11"/>
      <c r="L28" s="11"/>
      <c r="M28" s="11"/>
      <c r="N28" s="11"/>
      <c r="O28" s="11"/>
      <c r="P28" s="11"/>
      <c r="Q28" s="11"/>
      <c r="R28" s="11"/>
      <c r="S28" s="11"/>
      <c r="T28" s="11"/>
      <c r="U28" s="11"/>
    </row>
    <row r="29" spans="2:21">
      <c r="B29" t="s">
        <v>539</v>
      </c>
      <c r="C29" t="s">
        <v>540</v>
      </c>
      <c r="D29" s="11"/>
      <c r="E29" s="11"/>
      <c r="F29" s="11"/>
      <c r="G29" s="11"/>
      <c r="H29" s="11"/>
      <c r="I29" s="11"/>
      <c r="J29" s="11"/>
      <c r="K29" s="11"/>
      <c r="L29" s="11"/>
      <c r="M29" s="11"/>
      <c r="N29" s="11"/>
      <c r="O29" s="11"/>
      <c r="P29" s="11"/>
      <c r="Q29" s="11"/>
      <c r="R29" s="11"/>
      <c r="S29" s="11"/>
      <c r="T29" s="11"/>
      <c r="U29" s="11"/>
    </row>
    <row r="30" spans="2:21">
      <c r="B30" t="s">
        <v>533</v>
      </c>
      <c r="C30">
        <f>2.5*0.8*1.22</f>
        <v>2.44</v>
      </c>
      <c r="D30" s="11" t="s">
        <v>537</v>
      </c>
      <c r="E30" s="11" t="s">
        <v>538</v>
      </c>
      <c r="F30" s="11"/>
      <c r="G30" s="11"/>
      <c r="H30" s="11"/>
      <c r="I30" s="11"/>
      <c r="J30" s="11"/>
      <c r="K30" s="11"/>
      <c r="L30" s="11"/>
      <c r="M30" s="11"/>
      <c r="N30" s="11"/>
      <c r="O30" s="11"/>
      <c r="P30" s="11"/>
      <c r="Q30" s="11"/>
      <c r="R30" s="11"/>
      <c r="S30" s="11"/>
      <c r="T30" s="11"/>
      <c r="U30" s="11"/>
    </row>
    <row r="31" spans="2:21">
      <c r="B31" t="s">
        <v>534</v>
      </c>
      <c r="C31">
        <f>2.5*2*2.44*C28</f>
        <v>6.1</v>
      </c>
      <c r="D31" s="11" t="s">
        <v>537</v>
      </c>
      <c r="E31" s="11" t="s">
        <v>538</v>
      </c>
      <c r="F31" s="11"/>
      <c r="G31" s="11"/>
      <c r="H31" s="11"/>
      <c r="I31" s="11"/>
      <c r="J31" s="11"/>
      <c r="K31" s="11"/>
      <c r="L31" s="11"/>
      <c r="M31" s="11"/>
      <c r="N31" s="11"/>
      <c r="O31" s="11"/>
      <c r="P31" s="11"/>
      <c r="Q31" s="11"/>
      <c r="R31" s="11"/>
      <c r="S31" s="11"/>
      <c r="T31" s="11"/>
      <c r="U31" s="11"/>
    </row>
    <row r="32" spans="2:21">
      <c r="D32" s="11"/>
      <c r="E32" s="11"/>
      <c r="F32" s="11"/>
      <c r="G32" s="11"/>
      <c r="H32" s="11"/>
      <c r="I32" s="11"/>
      <c r="J32" s="11"/>
      <c r="K32" s="11"/>
      <c r="L32" s="11"/>
      <c r="M32" s="11"/>
      <c r="N32" s="11"/>
      <c r="O32" s="11"/>
      <c r="P32" s="11"/>
      <c r="Q32" s="11"/>
      <c r="R32" s="11"/>
      <c r="S32" s="11"/>
      <c r="T32" s="11"/>
      <c r="U32" s="11"/>
    </row>
    <row r="33" spans="2:21">
      <c r="B33" s="1" t="s">
        <v>323</v>
      </c>
      <c r="D33" s="11"/>
      <c r="E33" s="11"/>
      <c r="F33" s="11"/>
      <c r="G33" s="11"/>
      <c r="H33" s="11"/>
      <c r="I33" s="11"/>
      <c r="J33" s="11"/>
      <c r="K33" s="11"/>
      <c r="L33" s="11"/>
      <c r="M33" s="11"/>
      <c r="N33" s="11"/>
      <c r="O33" s="11"/>
      <c r="P33" s="11"/>
      <c r="Q33" s="11"/>
      <c r="R33" s="11"/>
      <c r="S33" s="11"/>
      <c r="T33" s="11"/>
      <c r="U33" s="11"/>
    </row>
    <row r="34" spans="2:21">
      <c r="B34" t="s">
        <v>624</v>
      </c>
      <c r="D34" s="11"/>
      <c r="E34" s="11"/>
      <c r="F34" s="11"/>
      <c r="G34" s="11"/>
      <c r="H34" s="11"/>
      <c r="I34" s="11"/>
      <c r="J34" s="11"/>
      <c r="K34" s="11"/>
      <c r="L34" s="11"/>
      <c r="M34" s="11"/>
      <c r="N34" s="11"/>
      <c r="O34" s="11"/>
      <c r="P34" s="11"/>
      <c r="Q34" s="11"/>
      <c r="R34" s="11"/>
      <c r="S34" s="11"/>
      <c r="T34" s="11"/>
      <c r="U34" s="11"/>
    </row>
    <row r="35" spans="2:21">
      <c r="B35" t="s">
        <v>645</v>
      </c>
      <c r="D35" s="11"/>
      <c r="E35" s="11"/>
      <c r="F35" s="11"/>
      <c r="G35" s="11"/>
      <c r="H35" s="11"/>
      <c r="I35" s="11"/>
      <c r="J35" s="11"/>
      <c r="K35" s="11"/>
      <c r="L35" s="11"/>
      <c r="M35" s="11"/>
      <c r="N35" s="11"/>
      <c r="O35" s="11"/>
      <c r="P35" s="11"/>
      <c r="Q35" s="11"/>
      <c r="R35" s="11"/>
      <c r="S35" s="11"/>
      <c r="T35" s="11"/>
      <c r="U35" s="11"/>
    </row>
    <row r="36" spans="2:21" s="41" customFormat="1">
      <c r="B36" s="41" t="s">
        <v>623</v>
      </c>
      <c r="C36" s="101" t="s">
        <v>17</v>
      </c>
      <c r="D36" s="101" t="s">
        <v>495</v>
      </c>
      <c r="E36" s="101" t="s">
        <v>545</v>
      </c>
      <c r="F36" s="101" t="s">
        <v>546</v>
      </c>
      <c r="G36" s="93"/>
      <c r="H36" s="93"/>
      <c r="I36" s="93"/>
      <c r="J36" s="93"/>
      <c r="K36" s="93"/>
      <c r="L36" s="93"/>
      <c r="M36" s="93"/>
      <c r="N36" s="93"/>
      <c r="O36" s="93"/>
      <c r="P36" s="93"/>
      <c r="Q36" s="93"/>
      <c r="R36" s="93"/>
      <c r="S36" s="93"/>
      <c r="T36" s="93"/>
      <c r="U36" s="93"/>
    </row>
    <row r="37" spans="2:21" s="41" customFormat="1">
      <c r="B37" s="71" t="s">
        <v>630</v>
      </c>
      <c r="C37" s="102">
        <f>11.2*59.73*('C&amp;B'!C13*'C&amp;B'!C21)^0.4714</f>
        <v>10088.078787988656</v>
      </c>
      <c r="D37" s="102">
        <f>11.2*59.73*('C&amp;B'!D13*'C&amp;B'!D21)^0.4714</f>
        <v>8229.5596893516959</v>
      </c>
      <c r="E37" s="102">
        <f>11.2*59.73*('C&amp;B'!E13*'C&amp;B'!E21)^0.4714</f>
        <v>5317.5794085653797</v>
      </c>
      <c r="F37" s="102">
        <f>11.2*59.73*('C&amp;B'!H13*'C&amp;B'!H21)^0.4714</f>
        <v>7126.8701961562592</v>
      </c>
      <c r="G37" s="93"/>
      <c r="H37" s="93"/>
      <c r="I37" s="93"/>
      <c r="J37" s="93"/>
      <c r="K37" s="93"/>
      <c r="L37" s="93"/>
      <c r="M37" s="93"/>
      <c r="N37" s="93"/>
      <c r="O37" s="93"/>
      <c r="P37" s="93"/>
      <c r="Q37" s="93"/>
      <c r="R37" s="93"/>
      <c r="S37" s="93"/>
      <c r="T37" s="93"/>
      <c r="U37" s="93"/>
    </row>
    <row r="38" spans="2:21">
      <c r="B38" t="s">
        <v>625</v>
      </c>
      <c r="C38" s="99">
        <f>'C&amp;B'!C14</f>
        <v>26.2</v>
      </c>
      <c r="D38" s="99">
        <f>'C&amp;B'!D14</f>
        <v>14.6</v>
      </c>
      <c r="E38" s="99">
        <f>'C&amp;B'!E14</f>
        <v>9.8000000000000007</v>
      </c>
      <c r="F38" s="99">
        <f>'C&amp;B'!I14</f>
        <v>13.8</v>
      </c>
      <c r="G38" s="11"/>
      <c r="H38" s="11"/>
      <c r="I38" s="11"/>
      <c r="J38" s="11"/>
      <c r="K38" s="11"/>
      <c r="L38" s="11"/>
      <c r="M38" s="11"/>
      <c r="N38" s="11"/>
      <c r="O38" s="11"/>
      <c r="P38" s="11"/>
      <c r="Q38" s="11"/>
      <c r="R38" s="11"/>
      <c r="S38" s="11"/>
      <c r="T38" s="11"/>
      <c r="U38" s="11"/>
    </row>
    <row r="39" spans="2:21">
      <c r="B39" t="s">
        <v>626</v>
      </c>
      <c r="C39" s="99">
        <v>0.8</v>
      </c>
      <c r="D39" s="99">
        <v>0.8</v>
      </c>
      <c r="E39" s="99">
        <v>0.8</v>
      </c>
      <c r="F39" s="99">
        <v>0.8</v>
      </c>
      <c r="G39" s="11"/>
      <c r="H39" s="11"/>
      <c r="I39" s="11"/>
      <c r="J39" s="11"/>
      <c r="K39" s="11"/>
      <c r="L39" s="11"/>
      <c r="M39" s="11"/>
      <c r="N39" s="11"/>
      <c r="O39" s="11"/>
      <c r="P39" s="11"/>
      <c r="Q39" s="11"/>
      <c r="R39" s="11"/>
      <c r="S39" s="11"/>
      <c r="T39" s="11"/>
      <c r="U39" s="11"/>
    </row>
    <row r="40" spans="2:21">
      <c r="B40" t="s">
        <v>627</v>
      </c>
      <c r="C40" s="99">
        <v>0.7</v>
      </c>
      <c r="D40" s="99">
        <v>0.7</v>
      </c>
      <c r="E40" s="99">
        <v>0.7</v>
      </c>
      <c r="F40" s="99">
        <v>0.7</v>
      </c>
      <c r="G40" s="11"/>
      <c r="H40" s="11"/>
      <c r="I40" s="11"/>
      <c r="J40" s="11"/>
      <c r="K40" s="11"/>
      <c r="L40" s="11"/>
      <c r="M40" s="11"/>
      <c r="N40" s="11"/>
      <c r="O40" s="11"/>
      <c r="P40" s="11"/>
      <c r="Q40" s="11"/>
      <c r="R40" s="11"/>
      <c r="S40" s="11"/>
      <c r="T40" s="11"/>
      <c r="U40" s="11"/>
    </row>
    <row r="41" spans="2:21">
      <c r="B41" t="s">
        <v>628</v>
      </c>
      <c r="C41" s="99">
        <v>0.83</v>
      </c>
      <c r="D41" s="99">
        <v>0.83</v>
      </c>
      <c r="E41" s="99">
        <v>0.83</v>
      </c>
      <c r="F41" s="99">
        <v>0.83</v>
      </c>
      <c r="G41" s="11"/>
      <c r="H41" s="11"/>
      <c r="I41" s="11"/>
      <c r="J41" s="11"/>
      <c r="K41" s="11"/>
      <c r="L41" s="11"/>
      <c r="M41" s="11"/>
      <c r="N41" s="11"/>
      <c r="O41" s="11"/>
      <c r="P41" s="11"/>
      <c r="Q41" s="11"/>
      <c r="R41" s="11"/>
      <c r="S41" s="11"/>
      <c r="T41" s="11"/>
      <c r="U41" s="11"/>
    </row>
    <row r="42" spans="2:21">
      <c r="B42" t="s">
        <v>629</v>
      </c>
      <c r="C42" s="66">
        <f>0.9*C38*C39*C40*C41/'C&amp;B'!C13</f>
        <v>9.3595081127241686E-2</v>
      </c>
      <c r="D42" s="66">
        <f>0.9*D38*D39*D40*D41/'C&amp;B'!D13</f>
        <v>7.2363412322274875E-2</v>
      </c>
      <c r="E42" s="66">
        <f>0.9*E38*E39*E40*E41/'C&amp;B'!E13</f>
        <v>8.1990720000000017E-2</v>
      </c>
      <c r="F42" s="66">
        <f>0.9*F38*F39*F40*F41/'C&amp;B'!H13</f>
        <v>8.2351155492154063E-2</v>
      </c>
      <c r="G42" s="11"/>
      <c r="H42" s="11"/>
      <c r="I42" s="11"/>
      <c r="J42" s="11"/>
      <c r="K42" s="11"/>
      <c r="L42" s="11"/>
      <c r="M42" s="11"/>
      <c r="N42" s="11"/>
      <c r="O42" s="11"/>
      <c r="P42" s="11"/>
      <c r="Q42" s="11"/>
      <c r="R42" s="11"/>
      <c r="S42" s="11"/>
      <c r="T42" s="11"/>
      <c r="U42" s="11"/>
    </row>
    <row r="43" spans="2:21">
      <c r="B43" t="s">
        <v>632</v>
      </c>
      <c r="C43" s="99"/>
      <c r="D43" s="99"/>
      <c r="E43" s="99"/>
      <c r="F43" s="99"/>
      <c r="G43" s="11"/>
      <c r="H43" s="11"/>
      <c r="I43" s="11"/>
      <c r="J43" s="11"/>
      <c r="K43" s="11"/>
      <c r="L43" s="11"/>
      <c r="M43" s="11"/>
      <c r="N43" s="11"/>
      <c r="O43" s="11"/>
      <c r="P43" s="11"/>
      <c r="Q43" s="11"/>
      <c r="R43" s="11"/>
      <c r="S43" s="11"/>
      <c r="T43" s="11"/>
      <c r="U43" s="11"/>
    </row>
    <row r="44" spans="2:21">
      <c r="B44" t="s">
        <v>633</v>
      </c>
      <c r="C44" s="66">
        <f>(52.2*(C42^2))-(9.94*C42)+1.433</f>
        <v>0.95993894042063821</v>
      </c>
      <c r="D44" s="66">
        <f t="shared" ref="D44:F44" si="1">(52.2*(D42^2))-(9.94*D42)+1.433</f>
        <v>0.98705107323719776</v>
      </c>
      <c r="E44" s="66">
        <f t="shared" si="1"/>
        <v>0.96892560347138057</v>
      </c>
      <c r="F44" s="66">
        <f t="shared" si="1"/>
        <v>0.96843492313659996</v>
      </c>
      <c r="G44" s="11"/>
      <c r="H44" s="11"/>
      <c r="I44" s="11"/>
      <c r="J44" s="11"/>
      <c r="K44" s="11"/>
      <c r="L44" s="11"/>
      <c r="M44" s="11"/>
      <c r="N44" s="11"/>
      <c r="O44" s="11"/>
      <c r="P44" s="11"/>
      <c r="Q44" s="11"/>
      <c r="R44" s="11"/>
      <c r="S44" s="11"/>
      <c r="T44" s="11"/>
      <c r="U44" s="11"/>
    </row>
    <row r="45" spans="2:21">
      <c r="B45" t="s">
        <v>634</v>
      </c>
      <c r="C45" s="7">
        <f>2/3*C37*C44</f>
        <v>6455.9597750811636</v>
      </c>
      <c r="D45" s="7">
        <f t="shared" ref="D45:F45" si="2">2/3*D37*D44</f>
        <v>5415.3304824294473</v>
      </c>
      <c r="E45" s="7">
        <f t="shared" si="2"/>
        <v>3434.8925583007981</v>
      </c>
      <c r="F45" s="7">
        <f t="shared" si="2"/>
        <v>4601.2733270794079</v>
      </c>
      <c r="G45" s="11"/>
      <c r="H45" s="11"/>
      <c r="I45" s="11"/>
      <c r="J45" s="11"/>
      <c r="K45" s="11"/>
      <c r="L45" s="11"/>
      <c r="M45" s="11"/>
      <c r="N45" s="11"/>
      <c r="O45" s="11"/>
      <c r="P45" s="11"/>
      <c r="Q45" s="11"/>
      <c r="R45" s="11"/>
      <c r="S45" s="11"/>
      <c r="T45" s="11"/>
      <c r="U45" s="11"/>
    </row>
    <row r="46" spans="2:21">
      <c r="B46" t="s">
        <v>635</v>
      </c>
      <c r="C46" s="99">
        <f>330*'C&amp;B'!C13</f>
        <v>38643</v>
      </c>
      <c r="D46" s="99">
        <f>330*'C&amp;B'!D13</f>
        <v>27852.000000000004</v>
      </c>
      <c r="E46" s="99">
        <f>330*'C&amp;B'!E13</f>
        <v>16500</v>
      </c>
      <c r="F46" s="99">
        <f>330*'C&amp;B'!H13</f>
        <v>23132.999999999996</v>
      </c>
      <c r="G46" s="11"/>
      <c r="H46" s="11"/>
      <c r="I46" s="11"/>
      <c r="J46" s="11"/>
      <c r="K46" s="11"/>
      <c r="L46" s="11"/>
      <c r="M46" s="11"/>
      <c r="N46" s="11"/>
      <c r="O46" s="11"/>
      <c r="P46" s="11"/>
      <c r="Q46" s="11"/>
      <c r="R46" s="11"/>
      <c r="S46" s="11"/>
      <c r="T46" s="11"/>
      <c r="U46" s="11"/>
    </row>
    <row r="47" spans="2:21">
      <c r="B47" t="s">
        <v>637</v>
      </c>
      <c r="C47" s="7">
        <f>185*'C&amp;B'!C13</f>
        <v>21663.5</v>
      </c>
      <c r="D47" s="7">
        <f>185*'C&amp;B'!D13</f>
        <v>15614.000000000002</v>
      </c>
      <c r="E47" s="7">
        <f>185*'C&amp;B'!E13</f>
        <v>9250</v>
      </c>
      <c r="F47" s="7">
        <f>185*'C&amp;B'!H13</f>
        <v>12968.499999999998</v>
      </c>
      <c r="G47" s="11"/>
      <c r="H47" s="11"/>
      <c r="I47" s="11"/>
      <c r="J47" s="11"/>
      <c r="K47" s="11"/>
      <c r="L47" s="11"/>
      <c r="M47" s="11"/>
      <c r="N47" s="11"/>
      <c r="O47" s="11"/>
      <c r="P47" s="11"/>
      <c r="Q47" s="11"/>
      <c r="R47" s="11"/>
      <c r="S47" s="11"/>
      <c r="T47" s="11"/>
      <c r="U47" s="11"/>
    </row>
    <row r="48" spans="2:21">
      <c r="B48" t="s">
        <v>638</v>
      </c>
      <c r="C48" s="7">
        <f>C45*C47/C46</f>
        <v>3619.2501769394407</v>
      </c>
      <c r="D48" s="7">
        <f t="shared" ref="D48:F48" si="3">D45*D47/D46</f>
        <v>3035.8670886346899</v>
      </c>
      <c r="E48" s="7">
        <f t="shared" si="3"/>
        <v>1925.6215857140837</v>
      </c>
      <c r="F48" s="7">
        <f t="shared" si="3"/>
        <v>2579.5017136657284</v>
      </c>
      <c r="G48" s="11"/>
      <c r="H48" s="11"/>
      <c r="I48" s="11"/>
      <c r="J48" s="11"/>
      <c r="K48" s="11"/>
      <c r="L48" s="11"/>
      <c r="M48" s="11"/>
      <c r="N48" s="11"/>
      <c r="O48" s="11"/>
      <c r="P48" s="11"/>
      <c r="Q48" s="11"/>
      <c r="R48" s="11"/>
      <c r="S48" s="11"/>
      <c r="T48" s="11"/>
      <c r="U48" s="11"/>
    </row>
    <row r="49" spans="2:21">
      <c r="B49" t="s">
        <v>639</v>
      </c>
      <c r="C49" s="99">
        <v>0</v>
      </c>
      <c r="D49" s="105">
        <v>0</v>
      </c>
      <c r="E49" s="105">
        <v>0</v>
      </c>
      <c r="F49" s="105">
        <v>0</v>
      </c>
      <c r="G49" s="11"/>
      <c r="H49" s="11"/>
      <c r="I49" s="11"/>
      <c r="J49" s="11"/>
      <c r="K49" s="11"/>
      <c r="L49" s="11"/>
      <c r="M49" s="11"/>
      <c r="N49" s="11"/>
      <c r="O49" s="11"/>
      <c r="P49" s="11"/>
      <c r="Q49" s="11"/>
      <c r="R49" s="11"/>
      <c r="S49" s="11"/>
      <c r="T49" s="11"/>
      <c r="U49" s="11"/>
    </row>
    <row r="50" spans="2:21">
      <c r="B50" t="s">
        <v>640</v>
      </c>
      <c r="C50" s="99">
        <f>Detached!D25</f>
        <v>80</v>
      </c>
      <c r="D50" s="99">
        <v>80</v>
      </c>
      <c r="E50" s="99">
        <v>80</v>
      </c>
      <c r="F50" s="99">
        <v>80</v>
      </c>
      <c r="G50" s="11"/>
      <c r="H50" s="11"/>
      <c r="I50" s="11"/>
      <c r="J50" s="11"/>
      <c r="K50" s="11"/>
      <c r="L50" s="11"/>
      <c r="M50" s="11"/>
      <c r="N50" s="11"/>
      <c r="O50" s="11"/>
      <c r="P50" s="11"/>
      <c r="Q50" s="11"/>
      <c r="R50" s="11"/>
      <c r="S50" s="11"/>
      <c r="T50" s="11"/>
      <c r="U50" s="11"/>
    </row>
    <row r="51" spans="2:21">
      <c r="B51" t="s">
        <v>641</v>
      </c>
      <c r="C51" s="7">
        <f>C45/C50</f>
        <v>80.699497188514542</v>
      </c>
      <c r="D51" s="7">
        <f t="shared" ref="D51:F51" si="4">D45/D50</f>
        <v>67.691631030368086</v>
      </c>
      <c r="E51" s="7">
        <f t="shared" si="4"/>
        <v>42.936156978759975</v>
      </c>
      <c r="F51" s="7">
        <f t="shared" si="4"/>
        <v>57.515916588492601</v>
      </c>
      <c r="G51" s="11"/>
      <c r="H51" s="11"/>
      <c r="I51" s="11"/>
      <c r="J51" s="11"/>
      <c r="K51" s="11"/>
      <c r="L51" s="11"/>
      <c r="M51" s="11"/>
      <c r="N51" s="11"/>
      <c r="O51" s="11"/>
      <c r="P51" s="11"/>
      <c r="Q51" s="11"/>
      <c r="R51" s="11"/>
      <c r="S51" s="11"/>
      <c r="T51" s="11"/>
      <c r="U51" s="11"/>
    </row>
    <row r="52" spans="2:21">
      <c r="B52" t="s">
        <v>642</v>
      </c>
      <c r="C52" s="99">
        <f>C49/21.3</f>
        <v>0</v>
      </c>
      <c r="D52" s="105">
        <f t="shared" ref="D52:F52" si="5">D49/21.3</f>
        <v>0</v>
      </c>
      <c r="E52" s="105">
        <f t="shared" si="5"/>
        <v>0</v>
      </c>
      <c r="F52" s="105">
        <f t="shared" si="5"/>
        <v>0</v>
      </c>
      <c r="G52" s="11"/>
      <c r="H52" s="11"/>
      <c r="I52" s="11"/>
      <c r="J52" s="11"/>
      <c r="K52" s="11"/>
      <c r="L52" s="11"/>
      <c r="M52" s="11"/>
      <c r="N52" s="11"/>
      <c r="O52" s="11"/>
      <c r="P52" s="11"/>
      <c r="Q52" s="11"/>
      <c r="R52" s="11"/>
      <c r="S52" s="11"/>
      <c r="T52" s="11"/>
      <c r="U52" s="11"/>
    </row>
    <row r="53" spans="2:21">
      <c r="B53" t="s">
        <v>643</v>
      </c>
      <c r="C53" s="7">
        <f>1/3*C37*C44/21.3</f>
        <v>151.54835152772685</v>
      </c>
      <c r="D53" s="7">
        <f t="shared" ref="D53:F53" si="6">1/3*D37*D44/21.3</f>
        <v>127.12043385984617</v>
      </c>
      <c r="E53" s="7">
        <f t="shared" si="6"/>
        <v>80.631280711286337</v>
      </c>
      <c r="F53" s="7">
        <f t="shared" si="6"/>
        <v>108.01111096430535</v>
      </c>
      <c r="G53" s="11"/>
      <c r="H53" s="11"/>
      <c r="I53" s="11"/>
      <c r="J53" s="11"/>
      <c r="K53" s="11"/>
      <c r="L53" s="11"/>
      <c r="M53" s="11"/>
      <c r="N53" s="11"/>
      <c r="O53" s="11"/>
      <c r="P53" s="11"/>
      <c r="Q53" s="11"/>
      <c r="R53" s="11"/>
      <c r="S53" s="11"/>
      <c r="T53" s="11"/>
      <c r="U53" s="11"/>
    </row>
    <row r="54" spans="2:21">
      <c r="B54" t="s">
        <v>644</v>
      </c>
      <c r="C54" s="7">
        <f>SUM(C51:C53)</f>
        <v>232.24784871624138</v>
      </c>
      <c r="D54" s="7">
        <f t="shared" ref="D54:F54" si="7">SUM(D51:D53)</f>
        <v>194.81206489021426</v>
      </c>
      <c r="E54" s="7">
        <f t="shared" si="7"/>
        <v>123.56743769004632</v>
      </c>
      <c r="F54" s="7">
        <f t="shared" si="7"/>
        <v>165.52702755279796</v>
      </c>
      <c r="G54" s="11"/>
      <c r="H54" s="11"/>
      <c r="I54" s="11"/>
      <c r="J54" s="11"/>
      <c r="K54" s="11"/>
      <c r="L54" s="11"/>
      <c r="M54" s="11"/>
      <c r="N54" s="11"/>
      <c r="O54" s="11"/>
      <c r="P54" s="11"/>
      <c r="Q54" s="11"/>
      <c r="R54" s="11"/>
      <c r="S54" s="11"/>
      <c r="T54" s="11"/>
      <c r="U54" s="11"/>
    </row>
    <row r="55" spans="2:21">
      <c r="B55" t="s">
        <v>319</v>
      </c>
      <c r="C55" s="6">
        <f>C54/'C&amp;B'!C13</f>
        <v>1.9833291948440768</v>
      </c>
      <c r="D55" s="6">
        <f>D54/'C&amp;B'!D13</f>
        <v>2.3081998209741026</v>
      </c>
      <c r="E55" s="6">
        <f>E54/'C&amp;B'!E13</f>
        <v>2.4713487538009264</v>
      </c>
      <c r="F55" s="6">
        <f>F54/'C&amp;B'!H13</f>
        <v>2.3612985385563192</v>
      </c>
      <c r="G55" s="11"/>
      <c r="H55" s="11"/>
      <c r="I55" s="11"/>
      <c r="J55" s="11"/>
      <c r="K55" s="11"/>
      <c r="L55" s="11"/>
      <c r="M55" s="11"/>
      <c r="N55" s="11"/>
      <c r="O55" s="11"/>
      <c r="P55" s="11"/>
      <c r="Q55" s="11"/>
      <c r="R55" s="11"/>
      <c r="S55" s="11"/>
      <c r="T55" s="11"/>
      <c r="U55" s="11"/>
    </row>
    <row r="56" spans="2:21">
      <c r="C56" s="99"/>
      <c r="D56" s="99"/>
      <c r="E56" s="99"/>
      <c r="F56" s="99"/>
      <c r="G56" s="11"/>
      <c r="H56" s="11"/>
      <c r="I56" s="11"/>
      <c r="J56" s="11"/>
      <c r="K56" s="11"/>
      <c r="L56" s="11"/>
      <c r="M56" s="11"/>
      <c r="N56" s="11"/>
      <c r="O56" s="11"/>
      <c r="P56" s="11"/>
      <c r="Q56" s="11"/>
      <c r="R56" s="11"/>
      <c r="S56" s="11"/>
      <c r="T56" s="11"/>
      <c r="U56" s="11"/>
    </row>
    <row r="57" spans="2:21">
      <c r="B57" s="1" t="s">
        <v>519</v>
      </c>
      <c r="D57" s="11"/>
      <c r="E57" s="11"/>
      <c r="F57" s="11"/>
      <c r="G57" s="11"/>
      <c r="H57" s="11"/>
      <c r="I57" s="11"/>
      <c r="J57" s="11"/>
      <c r="K57" s="11"/>
      <c r="L57" s="11"/>
      <c r="M57" s="11"/>
      <c r="N57" s="11"/>
      <c r="O57" s="11"/>
      <c r="P57" s="11"/>
      <c r="Q57" s="11"/>
      <c r="R57" s="11"/>
      <c r="S57" s="11"/>
      <c r="T57" s="11"/>
      <c r="U57" s="11"/>
    </row>
    <row r="58" spans="2:21">
      <c r="B58" t="s">
        <v>542</v>
      </c>
      <c r="D58" s="11"/>
      <c r="E58" s="11"/>
      <c r="F58" s="11"/>
      <c r="G58" s="11"/>
      <c r="H58" s="11"/>
      <c r="I58" s="11"/>
      <c r="J58" s="11"/>
      <c r="K58" s="11"/>
      <c r="L58" s="11"/>
      <c r="M58" s="11"/>
      <c r="N58" s="11"/>
      <c r="O58" s="11"/>
      <c r="P58" s="11"/>
      <c r="Q58" s="11"/>
      <c r="R58" s="11"/>
      <c r="S58" s="11"/>
      <c r="T58" s="11"/>
      <c r="U58" s="11"/>
    </row>
    <row r="59" spans="2:21">
      <c r="B59" t="s">
        <v>541</v>
      </c>
      <c r="D59" s="11"/>
      <c r="E59" s="11"/>
      <c r="F59" s="11"/>
      <c r="G59" s="11"/>
      <c r="H59" s="11"/>
      <c r="I59" s="11"/>
      <c r="J59" s="11"/>
      <c r="K59" s="11"/>
      <c r="L59" s="11"/>
      <c r="M59" s="11"/>
      <c r="N59" s="11"/>
      <c r="O59" s="11"/>
      <c r="P59" s="11"/>
      <c r="Q59" s="11"/>
      <c r="R59" s="11"/>
      <c r="S59" s="11"/>
      <c r="T59" s="11"/>
      <c r="U59" s="11"/>
    </row>
    <row r="60" spans="2:21">
      <c r="B60" t="s">
        <v>543</v>
      </c>
      <c r="D60" s="11"/>
      <c r="E60" s="11"/>
      <c r="F60" s="11"/>
      <c r="G60" s="11"/>
      <c r="H60" s="11"/>
      <c r="I60" s="11"/>
      <c r="J60" s="11"/>
      <c r="K60" s="11"/>
      <c r="L60" s="11"/>
      <c r="M60" s="11"/>
      <c r="N60" s="11"/>
      <c r="O60" s="11"/>
      <c r="P60" s="11"/>
      <c r="Q60" s="11"/>
      <c r="R60" s="11"/>
      <c r="S60" s="11"/>
      <c r="T60" s="11"/>
      <c r="U60" s="11"/>
    </row>
    <row r="61" spans="2:21" ht="43.2">
      <c r="B61" s="41" t="s">
        <v>544</v>
      </c>
      <c r="C61" s="41" t="s">
        <v>21</v>
      </c>
      <c r="D61" s="93" t="s">
        <v>547</v>
      </c>
      <c r="E61" s="95" t="s">
        <v>552</v>
      </c>
      <c r="F61" s="95" t="s">
        <v>553</v>
      </c>
      <c r="G61" s="95"/>
      <c r="H61" s="95"/>
      <c r="I61" s="95"/>
      <c r="J61" s="95"/>
      <c r="K61" s="95"/>
      <c r="L61" s="95"/>
      <c r="M61" s="95"/>
      <c r="N61" s="95"/>
      <c r="O61" s="95"/>
      <c r="P61" s="95"/>
      <c r="Q61" s="95"/>
      <c r="R61" s="95"/>
      <c r="S61" s="11"/>
      <c r="T61" s="11"/>
      <c r="U61" s="11"/>
    </row>
    <row r="62" spans="2:21">
      <c r="B62" t="s">
        <v>17</v>
      </c>
      <c r="C62" s="77">
        <v>2</v>
      </c>
      <c r="D62" s="94">
        <v>1</v>
      </c>
      <c r="E62" s="96">
        <f>'C&amp;B'!C21</f>
        <v>2.6991472352797787</v>
      </c>
      <c r="F62" s="96">
        <f>IF(D62=0,0.58*E62+0.83,0.45*E62+0.65)</f>
        <v>1.8646162558759003</v>
      </c>
      <c r="G62" s="77"/>
      <c r="H62" s="77"/>
      <c r="I62" s="77"/>
      <c r="J62" s="77"/>
      <c r="K62" s="77"/>
      <c r="L62" s="77"/>
      <c r="M62" s="77"/>
      <c r="N62" s="77"/>
      <c r="O62" s="77"/>
      <c r="P62" s="11"/>
      <c r="Q62" s="11"/>
      <c r="R62" s="11"/>
      <c r="S62" s="11"/>
      <c r="T62" s="11"/>
      <c r="U62" s="11"/>
    </row>
    <row r="63" spans="2:21">
      <c r="B63" t="s">
        <v>495</v>
      </c>
      <c r="C63" s="77">
        <v>2</v>
      </c>
      <c r="D63" s="77">
        <v>1</v>
      </c>
      <c r="E63" s="43">
        <f>'C&amp;B'!D21</f>
        <v>2.431346794521084</v>
      </c>
      <c r="F63" s="96">
        <f t="shared" ref="F63:F65" si="8">IF(D63=0,0.58*E63+0.83,0.45*E63+0.65)</f>
        <v>1.7441060575344878</v>
      </c>
      <c r="G63" s="77"/>
      <c r="H63" s="77"/>
      <c r="I63" s="77"/>
      <c r="J63" s="77"/>
      <c r="K63" s="77"/>
      <c r="L63" s="77"/>
      <c r="M63" s="77"/>
      <c r="N63" s="77"/>
      <c r="O63" s="77"/>
      <c r="P63" s="11"/>
      <c r="Q63" s="11"/>
      <c r="R63" s="11"/>
      <c r="S63" s="11"/>
      <c r="T63" s="11"/>
      <c r="U63" s="11"/>
    </row>
    <row r="64" spans="2:21">
      <c r="B64" t="s">
        <v>545</v>
      </c>
      <c r="C64" s="77">
        <v>1</v>
      </c>
      <c r="D64" s="77">
        <v>0</v>
      </c>
      <c r="E64" s="43">
        <f>'C&amp;B'!E21</f>
        <v>1.6251008890848955</v>
      </c>
      <c r="F64" s="96">
        <f t="shared" si="8"/>
        <v>1.7725585156692394</v>
      </c>
      <c r="G64" s="77"/>
      <c r="H64" s="77"/>
      <c r="I64" s="77"/>
      <c r="J64" s="77"/>
      <c r="K64" s="77"/>
      <c r="L64" s="77"/>
      <c r="M64" s="77"/>
      <c r="N64" s="77"/>
      <c r="O64" s="77"/>
      <c r="P64" s="11"/>
      <c r="Q64" s="11"/>
      <c r="R64" s="11"/>
      <c r="S64" s="11"/>
      <c r="T64" s="11"/>
      <c r="U64" s="11"/>
    </row>
    <row r="65" spans="2:21">
      <c r="B65" t="s">
        <v>546</v>
      </c>
      <c r="C65" s="77">
        <v>1</v>
      </c>
      <c r="D65" s="77">
        <v>1</v>
      </c>
      <c r="E65" s="43">
        <f>'C&amp;B'!H21</f>
        <v>2.1574202112263499</v>
      </c>
      <c r="F65" s="96">
        <f t="shared" si="8"/>
        <v>1.6208390950518576</v>
      </c>
      <c r="G65" s="77"/>
      <c r="H65" s="77"/>
      <c r="I65" s="77"/>
      <c r="J65" s="77"/>
      <c r="K65" s="77"/>
      <c r="L65" s="77"/>
      <c r="M65" s="77"/>
      <c r="N65" s="77"/>
      <c r="O65" s="77"/>
      <c r="P65" s="11"/>
      <c r="Q65" s="11"/>
      <c r="R65" s="11"/>
      <c r="S65" s="11"/>
      <c r="T65" s="11"/>
      <c r="U65" s="11"/>
    </row>
    <row r="66" spans="2:21">
      <c r="D66" s="11"/>
      <c r="E66" s="11"/>
      <c r="F66" s="11"/>
      <c r="G66" s="11"/>
      <c r="H66" s="11"/>
      <c r="I66" s="11"/>
      <c r="J66" s="11"/>
      <c r="K66" s="11"/>
      <c r="L66" s="11"/>
      <c r="M66" s="11"/>
      <c r="N66" s="11"/>
      <c r="O66" s="11"/>
      <c r="P66" s="11"/>
      <c r="Q66" s="11"/>
      <c r="R66" s="11"/>
      <c r="S66" s="11"/>
      <c r="T66" s="11"/>
      <c r="U66" s="11"/>
    </row>
    <row r="67" spans="2:21">
      <c r="B67" t="s">
        <v>548</v>
      </c>
      <c r="C67" s="77">
        <v>11</v>
      </c>
      <c r="D67" s="11" t="s">
        <v>549</v>
      </c>
      <c r="E67" s="11" t="s">
        <v>550</v>
      </c>
      <c r="F67" s="11"/>
      <c r="G67" s="11"/>
      <c r="H67" s="11"/>
      <c r="I67" s="11"/>
      <c r="J67" s="11"/>
      <c r="K67" s="11"/>
      <c r="L67" s="11"/>
      <c r="M67" s="11"/>
      <c r="N67" s="11"/>
      <c r="O67" s="11"/>
      <c r="P67" s="11"/>
      <c r="Q67" s="11"/>
      <c r="R67" s="11"/>
      <c r="S67" s="11"/>
      <c r="T67" s="11"/>
      <c r="U67" s="11"/>
    </row>
    <row r="68" spans="2:21">
      <c r="B68" t="s">
        <v>551</v>
      </c>
      <c r="D68" s="11"/>
      <c r="E68" s="11"/>
      <c r="F68" s="11"/>
      <c r="G68" s="11"/>
      <c r="H68" s="11"/>
      <c r="I68" s="11"/>
      <c r="J68" s="11"/>
      <c r="K68" s="11"/>
      <c r="L68" s="11"/>
      <c r="M68" s="11"/>
      <c r="N68" s="11"/>
      <c r="O68" s="11"/>
      <c r="P68" s="11"/>
      <c r="Q68" s="11"/>
      <c r="R68" s="11"/>
      <c r="S68" s="11"/>
      <c r="T68" s="11"/>
      <c r="U68" s="11"/>
    </row>
    <row r="69" spans="2:21">
      <c r="D69" s="11"/>
      <c r="E69" s="11"/>
      <c r="F69" s="11"/>
      <c r="G69" s="11"/>
      <c r="H69" s="11"/>
      <c r="I69" s="11"/>
      <c r="J69" s="11"/>
      <c r="K69" s="11"/>
      <c r="L69" s="11"/>
      <c r="M69" s="11"/>
      <c r="N69" s="11"/>
      <c r="O69" s="11"/>
      <c r="P69" s="11"/>
      <c r="Q69" s="11"/>
      <c r="R69" s="11"/>
      <c r="S69" s="11"/>
      <c r="T69" s="11"/>
      <c r="U69" s="11"/>
    </row>
    <row r="70" spans="2:21">
      <c r="B70" t="s">
        <v>554</v>
      </c>
      <c r="D70" s="11"/>
      <c r="E70" s="11"/>
      <c r="F70" s="11"/>
      <c r="G70" s="11"/>
      <c r="H70" s="11"/>
      <c r="I70" s="11"/>
      <c r="J70" s="11"/>
      <c r="K70" s="11"/>
      <c r="L70" s="11"/>
      <c r="M70" s="11"/>
      <c r="N70" s="11"/>
      <c r="O70" s="11"/>
      <c r="P70" s="11"/>
      <c r="Q70" s="11"/>
      <c r="R70" s="11"/>
      <c r="S70" s="11"/>
      <c r="T70" s="11"/>
      <c r="U70" s="11"/>
    </row>
    <row r="71" spans="2:21" ht="28.8">
      <c r="C71" s="10" t="s">
        <v>397</v>
      </c>
      <c r="D71" s="10" t="s">
        <v>398</v>
      </c>
      <c r="E71" s="10" t="s">
        <v>399</v>
      </c>
      <c r="F71" s="10" t="s">
        <v>400</v>
      </c>
      <c r="G71" s="10" t="s">
        <v>401</v>
      </c>
      <c r="H71" s="10" t="s">
        <v>402</v>
      </c>
      <c r="I71" s="10" t="s">
        <v>403</v>
      </c>
      <c r="J71" s="10" t="s">
        <v>404</v>
      </c>
      <c r="K71" s="10" t="s">
        <v>405</v>
      </c>
      <c r="L71" s="10" t="s">
        <v>406</v>
      </c>
      <c r="M71" s="10" t="s">
        <v>407</v>
      </c>
      <c r="N71" s="10" t="s">
        <v>63</v>
      </c>
      <c r="O71" s="5" t="s">
        <v>568</v>
      </c>
      <c r="P71" s="10"/>
      <c r="Q71" s="11"/>
      <c r="R71" s="11"/>
      <c r="S71" s="11"/>
      <c r="T71" s="11"/>
      <c r="U71" s="11"/>
    </row>
    <row r="72" spans="2:21">
      <c r="B72" t="s">
        <v>555</v>
      </c>
      <c r="C72" s="77">
        <v>1.0349999999999999</v>
      </c>
      <c r="D72" s="77">
        <v>1.0209999999999999</v>
      </c>
      <c r="E72" s="77">
        <v>1.0069999999999999</v>
      </c>
      <c r="F72" s="77">
        <v>0.99299999999999999</v>
      </c>
      <c r="G72" s="77">
        <v>0.97899999999999998</v>
      </c>
      <c r="H72" s="77">
        <v>0.96499999999999997</v>
      </c>
      <c r="I72" s="77">
        <v>0.96499999999999997</v>
      </c>
      <c r="J72" s="77">
        <v>0.97899999999999998</v>
      </c>
      <c r="K72" s="77">
        <v>0.99299999999999999</v>
      </c>
      <c r="L72" s="77">
        <v>1.0069999999999999</v>
      </c>
      <c r="M72" s="77">
        <v>1.0209999999999999</v>
      </c>
      <c r="N72" s="77">
        <v>1.0349999999999999</v>
      </c>
      <c r="O72" s="7">
        <f>AVERAGE(C72:N72)</f>
        <v>1</v>
      </c>
      <c r="P72" s="11"/>
      <c r="Q72" s="11"/>
      <c r="R72" s="11"/>
      <c r="S72" s="11"/>
      <c r="T72" s="11"/>
      <c r="U72" s="11"/>
    </row>
    <row r="73" spans="2:21">
      <c r="B73" t="s">
        <v>559</v>
      </c>
      <c r="C73" s="77">
        <v>8</v>
      </c>
      <c r="D73" s="77">
        <v>8.1999999999999993</v>
      </c>
      <c r="E73" s="77">
        <v>9.3000000000000007</v>
      </c>
      <c r="F73" s="77">
        <v>12.7</v>
      </c>
      <c r="G73" s="77">
        <v>14.6</v>
      </c>
      <c r="H73" s="77">
        <v>16.7</v>
      </c>
      <c r="I73" s="77">
        <v>18.399999999999999</v>
      </c>
      <c r="J73" s="77">
        <v>17.600000000000001</v>
      </c>
      <c r="K73" s="77">
        <v>16.600000000000001</v>
      </c>
      <c r="L73" s="77">
        <v>14.3</v>
      </c>
      <c r="M73" s="77">
        <v>11.1</v>
      </c>
      <c r="N73" s="77">
        <v>8.5</v>
      </c>
      <c r="O73" s="77">
        <f>AVERAGE(C73:N73)</f>
        <v>13</v>
      </c>
      <c r="P73" s="11"/>
      <c r="Q73" s="11"/>
      <c r="R73" s="11"/>
      <c r="S73" s="11"/>
      <c r="T73" s="11"/>
      <c r="U73" s="11"/>
    </row>
    <row r="74" spans="2:21">
      <c r="B74" t="s">
        <v>556</v>
      </c>
      <c r="C74" s="6">
        <f>$C$67*6*C72</f>
        <v>68.309999999999988</v>
      </c>
      <c r="D74" s="6">
        <f t="shared" ref="D74:N74" si="9">$C$67*6*D72</f>
        <v>67.385999999999996</v>
      </c>
      <c r="E74" s="6">
        <f t="shared" si="9"/>
        <v>66.461999999999989</v>
      </c>
      <c r="F74" s="6">
        <f t="shared" si="9"/>
        <v>65.537999999999997</v>
      </c>
      <c r="G74" s="6">
        <f t="shared" si="9"/>
        <v>64.614000000000004</v>
      </c>
      <c r="H74" s="6">
        <f t="shared" si="9"/>
        <v>63.69</v>
      </c>
      <c r="I74" s="6">
        <f t="shared" si="9"/>
        <v>63.69</v>
      </c>
      <c r="J74" s="6">
        <f t="shared" si="9"/>
        <v>64.614000000000004</v>
      </c>
      <c r="K74" s="6">
        <f t="shared" si="9"/>
        <v>65.537999999999997</v>
      </c>
      <c r="L74" s="6">
        <f t="shared" si="9"/>
        <v>66.461999999999989</v>
      </c>
      <c r="M74" s="6">
        <f t="shared" si="9"/>
        <v>67.385999999999996</v>
      </c>
      <c r="N74" s="6">
        <f t="shared" si="9"/>
        <v>68.309999999999988</v>
      </c>
      <c r="O74" s="77">
        <f>AVERAGE(C74:N74)</f>
        <v>65.999999999999986</v>
      </c>
      <c r="P74" s="11"/>
      <c r="Q74" s="11"/>
      <c r="R74" s="11"/>
      <c r="S74" s="11"/>
      <c r="T74" s="11"/>
      <c r="U74" s="11"/>
    </row>
    <row r="75" spans="2:21">
      <c r="B75" t="s">
        <v>557</v>
      </c>
      <c r="D75" s="11"/>
      <c r="E75" s="11"/>
      <c r="F75" s="11"/>
      <c r="G75" s="11"/>
      <c r="H75" s="11"/>
      <c r="I75" s="11"/>
      <c r="J75" s="11"/>
      <c r="K75" s="11"/>
      <c r="L75" s="11"/>
      <c r="M75" s="11"/>
      <c r="N75" s="11"/>
      <c r="O75" s="11"/>
      <c r="P75" s="11"/>
      <c r="Q75" s="11"/>
      <c r="R75" s="11"/>
      <c r="S75" s="11"/>
      <c r="T75" s="11"/>
      <c r="U75" s="11"/>
    </row>
    <row r="76" spans="2:21">
      <c r="B76" t="s">
        <v>560</v>
      </c>
      <c r="C76" s="7">
        <f>C$74*$F62</f>
        <v>127.37193643888273</v>
      </c>
      <c r="D76" s="7">
        <f t="shared" ref="D76:N76" si="10">D$74*$F62</f>
        <v>125.64903101845341</v>
      </c>
      <c r="E76" s="7">
        <f t="shared" si="10"/>
        <v>123.92612559802407</v>
      </c>
      <c r="F76" s="7">
        <f t="shared" si="10"/>
        <v>122.20322017759474</v>
      </c>
      <c r="G76" s="7">
        <f t="shared" si="10"/>
        <v>120.48031475716543</v>
      </c>
      <c r="H76" s="7">
        <f t="shared" si="10"/>
        <v>118.75740933673609</v>
      </c>
      <c r="I76" s="7">
        <f t="shared" si="10"/>
        <v>118.75740933673609</v>
      </c>
      <c r="J76" s="7">
        <f t="shared" si="10"/>
        <v>120.48031475716543</v>
      </c>
      <c r="K76" s="7">
        <f t="shared" si="10"/>
        <v>122.20322017759474</v>
      </c>
      <c r="L76" s="7">
        <f t="shared" si="10"/>
        <v>123.92612559802407</v>
      </c>
      <c r="M76" s="7">
        <f t="shared" si="10"/>
        <v>125.64903101845341</v>
      </c>
      <c r="N76" s="7">
        <f t="shared" si="10"/>
        <v>127.37193643888273</v>
      </c>
      <c r="O76" s="7">
        <f t="shared" ref="O76:O84" si="11">AVERAGE(C76:N76)</f>
        <v>123.06467288780941</v>
      </c>
      <c r="P76" s="11"/>
      <c r="Q76" s="11"/>
      <c r="R76" s="11"/>
      <c r="S76" s="11"/>
      <c r="T76" s="11"/>
      <c r="U76" s="11"/>
    </row>
    <row r="77" spans="2:21">
      <c r="B77" t="s">
        <v>561</v>
      </c>
      <c r="C77" s="7">
        <f t="shared" ref="C77:N79" si="12">C$74*$F63</f>
        <v>119.13988479018084</v>
      </c>
      <c r="D77" s="7">
        <f t="shared" si="12"/>
        <v>117.52833079301898</v>
      </c>
      <c r="E77" s="7">
        <f t="shared" si="12"/>
        <v>115.9167767958571</v>
      </c>
      <c r="F77" s="7">
        <f t="shared" si="12"/>
        <v>114.30522279869525</v>
      </c>
      <c r="G77" s="7">
        <f t="shared" si="12"/>
        <v>112.69366880153341</v>
      </c>
      <c r="H77" s="7">
        <f t="shared" si="12"/>
        <v>111.08211480437153</v>
      </c>
      <c r="I77" s="7">
        <f t="shared" si="12"/>
        <v>111.08211480437153</v>
      </c>
      <c r="J77" s="7">
        <f t="shared" si="12"/>
        <v>112.69366880153341</v>
      </c>
      <c r="K77" s="7">
        <f t="shared" si="12"/>
        <v>114.30522279869525</v>
      </c>
      <c r="L77" s="7">
        <f t="shared" si="12"/>
        <v>115.9167767958571</v>
      </c>
      <c r="M77" s="7">
        <f t="shared" si="12"/>
        <v>117.52833079301898</v>
      </c>
      <c r="N77" s="7">
        <f t="shared" si="12"/>
        <v>119.13988479018084</v>
      </c>
      <c r="O77" s="7">
        <f t="shared" si="11"/>
        <v>115.11099979727616</v>
      </c>
      <c r="P77" s="11"/>
      <c r="Q77" s="11"/>
      <c r="R77" s="11"/>
      <c r="S77" s="11"/>
      <c r="T77" s="11"/>
      <c r="U77" s="11"/>
    </row>
    <row r="78" spans="2:21">
      <c r="B78" t="s">
        <v>562</v>
      </c>
      <c r="C78" s="7">
        <f t="shared" si="12"/>
        <v>121.08347220536572</v>
      </c>
      <c r="D78" s="7">
        <f t="shared" si="12"/>
        <v>119.44562813688736</v>
      </c>
      <c r="E78" s="7">
        <f t="shared" si="12"/>
        <v>117.80778406840896</v>
      </c>
      <c r="F78" s="7">
        <f t="shared" si="12"/>
        <v>116.16993999993061</v>
      </c>
      <c r="G78" s="7">
        <f t="shared" si="12"/>
        <v>114.53209593145225</v>
      </c>
      <c r="H78" s="7">
        <f t="shared" si="12"/>
        <v>112.89425186297385</v>
      </c>
      <c r="I78" s="7">
        <f t="shared" si="12"/>
        <v>112.89425186297385</v>
      </c>
      <c r="J78" s="7">
        <f t="shared" si="12"/>
        <v>114.53209593145225</v>
      </c>
      <c r="K78" s="7">
        <f t="shared" si="12"/>
        <v>116.16993999993061</v>
      </c>
      <c r="L78" s="7">
        <f t="shared" si="12"/>
        <v>117.80778406840896</v>
      </c>
      <c r="M78" s="7">
        <f t="shared" si="12"/>
        <v>119.44562813688736</v>
      </c>
      <c r="N78" s="7">
        <f t="shared" si="12"/>
        <v>121.08347220536572</v>
      </c>
      <c r="O78" s="7">
        <f t="shared" si="11"/>
        <v>116.98886203416977</v>
      </c>
      <c r="P78" s="11"/>
      <c r="Q78" s="11"/>
      <c r="R78" s="11"/>
      <c r="S78" s="11"/>
      <c r="T78" s="11"/>
      <c r="U78" s="11"/>
    </row>
    <row r="79" spans="2:21">
      <c r="B79" t="s">
        <v>563</v>
      </c>
      <c r="C79" s="7">
        <f t="shared" si="12"/>
        <v>110.71951858299238</v>
      </c>
      <c r="D79" s="7">
        <f t="shared" si="12"/>
        <v>109.22186325916446</v>
      </c>
      <c r="E79" s="7">
        <f t="shared" si="12"/>
        <v>107.72420793533655</v>
      </c>
      <c r="F79" s="7">
        <f t="shared" si="12"/>
        <v>106.22655261150864</v>
      </c>
      <c r="G79" s="7">
        <f t="shared" si="12"/>
        <v>104.72889728768074</v>
      </c>
      <c r="H79" s="7">
        <f t="shared" si="12"/>
        <v>103.23124196385281</v>
      </c>
      <c r="I79" s="7">
        <f t="shared" si="12"/>
        <v>103.23124196385281</v>
      </c>
      <c r="J79" s="7">
        <f t="shared" si="12"/>
        <v>104.72889728768074</v>
      </c>
      <c r="K79" s="7">
        <f t="shared" si="12"/>
        <v>106.22655261150864</v>
      </c>
      <c r="L79" s="7">
        <f t="shared" si="12"/>
        <v>107.72420793533655</v>
      </c>
      <c r="M79" s="7">
        <f t="shared" si="12"/>
        <v>109.22186325916446</v>
      </c>
      <c r="N79" s="7">
        <f t="shared" si="12"/>
        <v>110.71951858299238</v>
      </c>
      <c r="O79" s="7">
        <f t="shared" si="11"/>
        <v>106.97538027342257</v>
      </c>
      <c r="P79" s="11"/>
      <c r="Q79" s="11"/>
      <c r="R79" s="11"/>
      <c r="S79" s="11"/>
      <c r="T79" s="11"/>
      <c r="U79" s="11"/>
    </row>
    <row r="80" spans="2:21">
      <c r="B80" t="s">
        <v>558</v>
      </c>
      <c r="C80" s="43">
        <f>(41-C73)/(52-C73)</f>
        <v>0.75</v>
      </c>
      <c r="D80" s="43">
        <f t="shared" ref="D80:N80" si="13">(41-D73)/(52-D73)</f>
        <v>0.74885844748858443</v>
      </c>
      <c r="E80" s="43">
        <f t="shared" si="13"/>
        <v>0.74238875878220134</v>
      </c>
      <c r="F80" s="43">
        <f t="shared" si="13"/>
        <v>0.72010178117048351</v>
      </c>
      <c r="G80" s="43">
        <f t="shared" si="13"/>
        <v>0.70588235294117641</v>
      </c>
      <c r="H80" s="43">
        <f t="shared" si="13"/>
        <v>0.68838526912181308</v>
      </c>
      <c r="I80" s="43">
        <f t="shared" si="13"/>
        <v>0.67261904761904767</v>
      </c>
      <c r="J80" s="43">
        <f t="shared" si="13"/>
        <v>0.68023255813953487</v>
      </c>
      <c r="K80" s="43">
        <f t="shared" si="13"/>
        <v>0.68926553672316382</v>
      </c>
      <c r="L80" s="43">
        <f t="shared" si="13"/>
        <v>0.70822281167108747</v>
      </c>
      <c r="M80" s="43">
        <f t="shared" si="13"/>
        <v>0.73105134474327627</v>
      </c>
      <c r="N80" s="43">
        <f t="shared" si="13"/>
        <v>0.74712643678160917</v>
      </c>
      <c r="O80" s="43">
        <f t="shared" si="11"/>
        <v>0.71534452876516486</v>
      </c>
      <c r="P80" s="11"/>
      <c r="Q80" s="11"/>
      <c r="R80" s="11"/>
      <c r="S80" s="11"/>
      <c r="T80" s="11"/>
      <c r="U80" s="11"/>
    </row>
    <row r="81" spans="2:21">
      <c r="B81" t="s">
        <v>564</v>
      </c>
      <c r="C81" s="7">
        <f>C76*C$80</f>
        <v>95.528952329162053</v>
      </c>
      <c r="D81" s="7">
        <f t="shared" ref="D81:N81" si="14">D76*D$80</f>
        <v>94.093338296924017</v>
      </c>
      <c r="E81" s="7">
        <f t="shared" si="14"/>
        <v>92.001362563404285</v>
      </c>
      <c r="F81" s="7">
        <f t="shared" si="14"/>
        <v>87.998756514654744</v>
      </c>
      <c r="G81" s="7">
        <f t="shared" si="14"/>
        <v>85.044928063881471</v>
      </c>
      <c r="H81" s="7">
        <f t="shared" si="14"/>
        <v>81.750851186478386</v>
      </c>
      <c r="I81" s="7">
        <f t="shared" si="14"/>
        <v>79.878495565780824</v>
      </c>
      <c r="J81" s="7">
        <f t="shared" si="14"/>
        <v>81.954632712722997</v>
      </c>
      <c r="K81" s="7">
        <f t="shared" si="14"/>
        <v>84.2304681450088</v>
      </c>
      <c r="L81" s="7">
        <f t="shared" si="14"/>
        <v>87.767309110536928</v>
      </c>
      <c r="M81" s="7">
        <f t="shared" si="14"/>
        <v>91.855893091729996</v>
      </c>
      <c r="N81" s="7">
        <f t="shared" si="14"/>
        <v>95.162941017556051</v>
      </c>
      <c r="O81" s="7">
        <f t="shared" si="11"/>
        <v>88.105660716486696</v>
      </c>
      <c r="P81" s="11"/>
      <c r="Q81" s="11"/>
      <c r="R81" s="11"/>
      <c r="S81" s="11"/>
      <c r="T81" s="11"/>
      <c r="U81" s="11"/>
    </row>
    <row r="82" spans="2:21">
      <c r="B82" t="s">
        <v>565</v>
      </c>
      <c r="C82" s="7">
        <f t="shared" ref="C82:N82" si="15">C77*C$80</f>
        <v>89.354913592635626</v>
      </c>
      <c r="D82" s="7">
        <f t="shared" si="15"/>
        <v>88.012083333584982</v>
      </c>
      <c r="E82" s="7">
        <f t="shared" si="15"/>
        <v>86.05531204750983</v>
      </c>
      <c r="F82" s="7">
        <f t="shared" si="15"/>
        <v>82.311394534429411</v>
      </c>
      <c r="G82" s="7">
        <f t="shared" si="15"/>
        <v>79.54847209520004</v>
      </c>
      <c r="H82" s="7">
        <f t="shared" si="15"/>
        <v>76.467291494227425</v>
      </c>
      <c r="I82" s="7">
        <f t="shared" si="15"/>
        <v>74.715946267226087</v>
      </c>
      <c r="J82" s="7">
        <f t="shared" si="15"/>
        <v>76.657902614996559</v>
      </c>
      <c r="K82" s="7">
        <f t="shared" si="15"/>
        <v>78.786650742603513</v>
      </c>
      <c r="L82" s="7">
        <f t="shared" si="15"/>
        <v>82.094905582211794</v>
      </c>
      <c r="M82" s="7">
        <f t="shared" si="15"/>
        <v>85.919244271669129</v>
      </c>
      <c r="N82" s="7">
        <f t="shared" si="15"/>
        <v>89.012557601859243</v>
      </c>
      <c r="O82" s="7">
        <f t="shared" si="11"/>
        <v>82.411389514846135</v>
      </c>
      <c r="P82" s="11"/>
      <c r="Q82" s="11"/>
      <c r="R82" s="11"/>
      <c r="S82" s="11"/>
      <c r="T82" s="11"/>
      <c r="U82" s="11"/>
    </row>
    <row r="83" spans="2:21">
      <c r="B83" t="s">
        <v>566</v>
      </c>
      <c r="C83" s="7">
        <f t="shared" ref="C83:N83" si="16">C78*C$80</f>
        <v>90.812604154024285</v>
      </c>
      <c r="D83" s="7">
        <f t="shared" si="16"/>
        <v>89.447867645888252</v>
      </c>
      <c r="E83" s="7">
        <f t="shared" si="16"/>
        <v>87.459174589427718</v>
      </c>
      <c r="F83" s="7">
        <f t="shared" si="16"/>
        <v>83.654180712418224</v>
      </c>
      <c r="G83" s="7">
        <f t="shared" si="16"/>
        <v>80.846185363378055</v>
      </c>
      <c r="H83" s="7">
        <f t="shared" si="16"/>
        <v>77.714739950999004</v>
      </c>
      <c r="I83" s="7">
        <f t="shared" si="16"/>
        <v>75.934824169738363</v>
      </c>
      <c r="J83" s="7">
        <f t="shared" si="16"/>
        <v>77.908460604534369</v>
      </c>
      <c r="K83" s="7">
        <f t="shared" si="16"/>
        <v>80.071936045149911</v>
      </c>
      <c r="L83" s="7">
        <f t="shared" si="16"/>
        <v>83.434160069668934</v>
      </c>
      <c r="M83" s="7">
        <f t="shared" si="16"/>
        <v>87.32088707317682</v>
      </c>
      <c r="N83" s="7">
        <f t="shared" si="16"/>
        <v>90.464663141939909</v>
      </c>
      <c r="O83" s="7">
        <f t="shared" si="11"/>
        <v>83.755806960028636</v>
      </c>
      <c r="P83" s="11"/>
      <c r="Q83" s="11"/>
      <c r="R83" s="11"/>
      <c r="S83" s="11"/>
      <c r="T83" s="11"/>
      <c r="U83" s="11"/>
    </row>
    <row r="84" spans="2:21">
      <c r="B84" t="s">
        <v>567</v>
      </c>
      <c r="C84" s="7">
        <f t="shared" ref="C84:N84" si="17">C79*C$80</f>
        <v>83.039638937244291</v>
      </c>
      <c r="D84" s="7">
        <f t="shared" si="17"/>
        <v>81.791714952068361</v>
      </c>
      <c r="E84" s="7">
        <f t="shared" si="17"/>
        <v>79.973241019910262</v>
      </c>
      <c r="F84" s="7">
        <f t="shared" si="17"/>
        <v>76.493929743147447</v>
      </c>
      <c r="G84" s="7">
        <f t="shared" si="17"/>
        <v>73.926280438362866</v>
      </c>
      <c r="H84" s="7">
        <f t="shared" si="17"/>
        <v>71.062866281065823</v>
      </c>
      <c r="I84" s="7">
        <f t="shared" si="17"/>
        <v>69.435299654258145</v>
      </c>
      <c r="J84" s="7">
        <f t="shared" si="17"/>
        <v>71.240005713131666</v>
      </c>
      <c r="K84" s="7">
        <f t="shared" si="17"/>
        <v>73.2183018000229</v>
      </c>
      <c r="L84" s="7">
        <f t="shared" si="17"/>
        <v>76.29274142900492</v>
      </c>
      <c r="M84" s="7">
        <f t="shared" si="17"/>
        <v>79.846790010978424</v>
      </c>
      <c r="N84" s="7">
        <f t="shared" si="17"/>
        <v>82.721479401086256</v>
      </c>
      <c r="O84" s="7">
        <f t="shared" si="11"/>
        <v>76.586857448356781</v>
      </c>
      <c r="P84" s="11"/>
      <c r="Q84" s="11"/>
      <c r="R84" s="11"/>
      <c r="S84" s="11"/>
      <c r="T84" s="11"/>
      <c r="U84" s="11"/>
    </row>
    <row r="85" spans="2:21">
      <c r="B85" t="s">
        <v>574</v>
      </c>
      <c r="D85" s="11"/>
      <c r="E85" s="11"/>
      <c r="F85" s="11"/>
      <c r="G85" s="11"/>
      <c r="H85" s="11"/>
      <c r="I85" s="11"/>
      <c r="J85" s="11"/>
      <c r="K85" s="11"/>
      <c r="L85" s="11"/>
      <c r="M85" s="11"/>
      <c r="N85" s="11"/>
      <c r="O85" s="11"/>
      <c r="P85" s="11"/>
      <c r="Q85" s="11"/>
      <c r="R85" s="11"/>
      <c r="S85" s="11"/>
      <c r="T85" s="11"/>
      <c r="U85" s="11"/>
    </row>
    <row r="86" spans="2:21">
      <c r="B86" t="s">
        <v>569</v>
      </c>
      <c r="C86" s="77">
        <v>31</v>
      </c>
      <c r="D86" s="77">
        <v>28</v>
      </c>
      <c r="E86" s="77">
        <v>31</v>
      </c>
      <c r="F86" s="77">
        <v>30</v>
      </c>
      <c r="G86" s="77">
        <v>31</v>
      </c>
      <c r="H86" s="77">
        <v>30</v>
      </c>
      <c r="I86" s="77">
        <v>31</v>
      </c>
      <c r="J86" s="77">
        <v>31</v>
      </c>
      <c r="K86" s="77">
        <v>30</v>
      </c>
      <c r="L86" s="77">
        <v>31</v>
      </c>
      <c r="M86" s="77">
        <v>30</v>
      </c>
      <c r="N86" s="77">
        <v>31</v>
      </c>
      <c r="O86" s="11"/>
      <c r="P86" s="11"/>
      <c r="Q86" s="11"/>
      <c r="R86" s="11"/>
      <c r="S86" s="11"/>
      <c r="T86" s="11"/>
      <c r="U86" s="11"/>
    </row>
    <row r="87" spans="2:21">
      <c r="B87" t="s">
        <v>570</v>
      </c>
      <c r="C87" s="7">
        <f>C$86*C81</f>
        <v>2961.3975222040235</v>
      </c>
      <c r="D87" s="7">
        <f t="shared" ref="D87:N87" si="18">D$86*D81</f>
        <v>2634.6134723138725</v>
      </c>
      <c r="E87" s="7">
        <f t="shared" si="18"/>
        <v>2852.0422394655329</v>
      </c>
      <c r="F87" s="7">
        <f t="shared" si="18"/>
        <v>2639.9626954396422</v>
      </c>
      <c r="G87" s="7">
        <f t="shared" si="18"/>
        <v>2636.3927699803257</v>
      </c>
      <c r="H87" s="7">
        <f t="shared" si="18"/>
        <v>2452.5255355943514</v>
      </c>
      <c r="I87" s="7">
        <f t="shared" si="18"/>
        <v>2476.2333625392057</v>
      </c>
      <c r="J87" s="7">
        <f t="shared" si="18"/>
        <v>2540.5936140944127</v>
      </c>
      <c r="K87" s="7">
        <f t="shared" si="18"/>
        <v>2526.9140443502638</v>
      </c>
      <c r="L87" s="7">
        <f t="shared" si="18"/>
        <v>2720.7865824266446</v>
      </c>
      <c r="M87" s="7">
        <f t="shared" si="18"/>
        <v>2755.6767927518999</v>
      </c>
      <c r="N87" s="7">
        <f t="shared" si="18"/>
        <v>2950.0511715442376</v>
      </c>
      <c r="O87" s="7">
        <f>SUM(C87:N87)</f>
        <v>32147.189802704412</v>
      </c>
      <c r="P87" s="11"/>
      <c r="Q87" s="11"/>
      <c r="R87" s="11"/>
      <c r="S87" s="11"/>
      <c r="T87" s="11"/>
      <c r="U87" s="11"/>
    </row>
    <row r="88" spans="2:21">
      <c r="B88" t="s">
        <v>571</v>
      </c>
      <c r="C88" s="7">
        <f t="shared" ref="C88:N90" si="19">C$86*C82</f>
        <v>2770.0023213717045</v>
      </c>
      <c r="D88" s="7">
        <f t="shared" si="19"/>
        <v>2464.3383333403794</v>
      </c>
      <c r="E88" s="7">
        <f t="shared" si="19"/>
        <v>2667.7146734728049</v>
      </c>
      <c r="F88" s="7">
        <f t="shared" si="19"/>
        <v>2469.3418360328824</v>
      </c>
      <c r="G88" s="7">
        <f t="shared" si="19"/>
        <v>2466.0026349512013</v>
      </c>
      <c r="H88" s="7">
        <f t="shared" si="19"/>
        <v>2294.0187448268225</v>
      </c>
      <c r="I88" s="7">
        <f t="shared" si="19"/>
        <v>2316.1943342840086</v>
      </c>
      <c r="J88" s="7">
        <f t="shared" si="19"/>
        <v>2376.3949810648933</v>
      </c>
      <c r="K88" s="7">
        <f t="shared" si="19"/>
        <v>2363.5995222781053</v>
      </c>
      <c r="L88" s="7">
        <f t="shared" si="19"/>
        <v>2544.9420730485658</v>
      </c>
      <c r="M88" s="7">
        <f t="shared" si="19"/>
        <v>2577.5773281500738</v>
      </c>
      <c r="N88" s="7">
        <f t="shared" si="19"/>
        <v>2759.3892856576367</v>
      </c>
      <c r="O88" s="7">
        <f t="shared" ref="O88:O90" si="20">SUM(C88:N88)</f>
        <v>30069.516068479075</v>
      </c>
      <c r="P88" s="11"/>
      <c r="Q88" s="11"/>
      <c r="R88" s="11"/>
      <c r="S88" s="11"/>
      <c r="T88" s="11"/>
      <c r="U88" s="11"/>
    </row>
    <row r="89" spans="2:21">
      <c r="B89" t="s">
        <v>572</v>
      </c>
      <c r="C89" s="7">
        <f t="shared" si="19"/>
        <v>2815.1907287747526</v>
      </c>
      <c r="D89" s="7">
        <f t="shared" si="19"/>
        <v>2504.5402940848712</v>
      </c>
      <c r="E89" s="7">
        <f t="shared" si="19"/>
        <v>2711.2344122722593</v>
      </c>
      <c r="F89" s="7">
        <f t="shared" si="19"/>
        <v>2509.625421372547</v>
      </c>
      <c r="G89" s="7">
        <f t="shared" si="19"/>
        <v>2506.2317462647197</v>
      </c>
      <c r="H89" s="7">
        <f t="shared" si="19"/>
        <v>2331.44219852997</v>
      </c>
      <c r="I89" s="7">
        <f t="shared" si="19"/>
        <v>2353.9795492618891</v>
      </c>
      <c r="J89" s="7">
        <f t="shared" si="19"/>
        <v>2415.1622787405654</v>
      </c>
      <c r="K89" s="7">
        <f t="shared" si="19"/>
        <v>2402.1580813544974</v>
      </c>
      <c r="L89" s="7">
        <f t="shared" si="19"/>
        <v>2586.458962159737</v>
      </c>
      <c r="M89" s="7">
        <f t="shared" si="19"/>
        <v>2619.6266121953045</v>
      </c>
      <c r="N89" s="7">
        <f t="shared" si="19"/>
        <v>2804.404557400137</v>
      </c>
      <c r="O89" s="7">
        <f t="shared" si="20"/>
        <v>30560.054842411249</v>
      </c>
      <c r="P89" s="11"/>
      <c r="Q89" s="11"/>
      <c r="R89" s="11"/>
      <c r="S89" s="11"/>
      <c r="T89" s="11"/>
      <c r="U89" s="11"/>
    </row>
    <row r="90" spans="2:21">
      <c r="B90" t="s">
        <v>573</v>
      </c>
      <c r="C90" s="7">
        <f t="shared" si="19"/>
        <v>2574.2288070545728</v>
      </c>
      <c r="D90" s="7">
        <f t="shared" si="19"/>
        <v>2290.1680186579142</v>
      </c>
      <c r="E90" s="7">
        <f t="shared" si="19"/>
        <v>2479.170471617218</v>
      </c>
      <c r="F90" s="7">
        <f t="shared" si="19"/>
        <v>2294.8178922944235</v>
      </c>
      <c r="G90" s="7">
        <f t="shared" si="19"/>
        <v>2291.7146935892488</v>
      </c>
      <c r="H90" s="7">
        <f t="shared" si="19"/>
        <v>2131.8859884319745</v>
      </c>
      <c r="I90" s="7">
        <f t="shared" si="19"/>
        <v>2152.4942892820027</v>
      </c>
      <c r="J90" s="7">
        <f t="shared" si="19"/>
        <v>2208.4401771070816</v>
      </c>
      <c r="K90" s="7">
        <f t="shared" si="19"/>
        <v>2196.5490540006872</v>
      </c>
      <c r="L90" s="7">
        <f t="shared" si="19"/>
        <v>2365.0749842991527</v>
      </c>
      <c r="M90" s="7">
        <f t="shared" si="19"/>
        <v>2395.4037003293529</v>
      </c>
      <c r="N90" s="7">
        <f t="shared" si="19"/>
        <v>2564.3658614336741</v>
      </c>
      <c r="O90" s="7">
        <f t="shared" si="20"/>
        <v>27944.313938097304</v>
      </c>
      <c r="P90" s="11"/>
      <c r="Q90" s="11"/>
      <c r="R90" s="11"/>
      <c r="S90" s="11"/>
      <c r="T90" s="11"/>
      <c r="U90" s="11"/>
    </row>
    <row r="91" spans="2:21">
      <c r="B91" t="s">
        <v>575</v>
      </c>
      <c r="D91" s="11"/>
      <c r="E91" s="11"/>
      <c r="F91" s="11"/>
      <c r="G91" s="11"/>
      <c r="H91" s="11"/>
      <c r="I91" s="11"/>
      <c r="J91" s="11"/>
      <c r="K91" s="11"/>
      <c r="L91" s="11"/>
      <c r="M91" s="11"/>
      <c r="N91" s="11"/>
      <c r="O91" s="11"/>
      <c r="P91" s="11"/>
      <c r="Q91" s="11"/>
      <c r="R91" s="11"/>
      <c r="S91" s="11"/>
      <c r="T91" s="11"/>
      <c r="U91" s="11"/>
    </row>
    <row r="92" spans="2:21">
      <c r="B92" t="s">
        <v>576</v>
      </c>
      <c r="D92" s="11"/>
      <c r="E92" s="11"/>
      <c r="F92" s="11"/>
      <c r="G92" s="11"/>
      <c r="H92" s="11"/>
      <c r="I92" s="11"/>
      <c r="J92" s="11"/>
      <c r="K92" s="11"/>
      <c r="L92" s="11"/>
      <c r="M92" s="11"/>
      <c r="N92" s="11"/>
      <c r="O92" s="11"/>
      <c r="P92" s="11"/>
      <c r="Q92" s="11"/>
      <c r="R92" s="11"/>
      <c r="S92" s="11"/>
      <c r="T92" s="11"/>
      <c r="U92" s="11"/>
    </row>
    <row r="93" spans="2:21">
      <c r="B93" t="s">
        <v>577</v>
      </c>
      <c r="C93" s="97">
        <v>0.55000000000000004</v>
      </c>
      <c r="D93" s="11"/>
      <c r="E93" s="11"/>
      <c r="F93" s="11"/>
      <c r="G93" s="11"/>
      <c r="H93" s="11"/>
      <c r="I93" s="11"/>
      <c r="J93" s="11"/>
      <c r="K93" s="11"/>
      <c r="L93" s="11"/>
      <c r="M93" s="11"/>
      <c r="N93" s="11"/>
      <c r="O93" s="11"/>
      <c r="P93" s="11"/>
      <c r="Q93" s="11"/>
      <c r="R93" s="11"/>
      <c r="S93" s="11"/>
      <c r="T93" s="11"/>
      <c r="U93" s="11"/>
    </row>
    <row r="94" spans="2:21">
      <c r="B94" t="s">
        <v>578</v>
      </c>
      <c r="C94">
        <v>0.95</v>
      </c>
      <c r="D94" s="11"/>
      <c r="E94" s="11"/>
      <c r="F94" s="11"/>
      <c r="G94" s="11"/>
      <c r="H94" s="11"/>
      <c r="I94" s="11"/>
      <c r="J94" s="11"/>
      <c r="K94" s="11"/>
      <c r="L94" s="11"/>
      <c r="M94" s="11"/>
      <c r="N94" s="11"/>
      <c r="O94" s="11"/>
      <c r="P94" s="11"/>
      <c r="Q94" s="11"/>
      <c r="R94" s="11"/>
      <c r="S94" s="11"/>
      <c r="T94" s="11"/>
      <c r="U94" s="11"/>
    </row>
    <row r="95" spans="2:21">
      <c r="B95" t="s">
        <v>579</v>
      </c>
      <c r="C95" s="7">
        <f>C87*(35-C$73)*4.18/3600</f>
        <v>92.839812321096133</v>
      </c>
      <c r="D95" s="7">
        <f t="shared" ref="D95:N95" si="21">D87*(35-D$73)*4.18/3600</f>
        <v>81.983316561802553</v>
      </c>
      <c r="E95" s="7">
        <f t="shared" si="21"/>
        <v>85.106524893562309</v>
      </c>
      <c r="F95" s="7">
        <f t="shared" si="21"/>
        <v>68.355967414641881</v>
      </c>
      <c r="G95" s="7">
        <f t="shared" si="21"/>
        <v>62.447356744933977</v>
      </c>
      <c r="H95" s="7">
        <f t="shared" si="21"/>
        <v>52.11208008882064</v>
      </c>
      <c r="I95" s="7">
        <f t="shared" si="21"/>
        <v>47.728022377741773</v>
      </c>
      <c r="J95" s="7">
        <f t="shared" si="21"/>
        <v>51.328459650087446</v>
      </c>
      <c r="K95" s="7">
        <f t="shared" si="21"/>
        <v>53.986114716407634</v>
      </c>
      <c r="L95" s="7">
        <f t="shared" si="21"/>
        <v>65.394105508624406</v>
      </c>
      <c r="M95" s="7">
        <f t="shared" si="21"/>
        <v>76.47156193041674</v>
      </c>
      <c r="N95" s="7">
        <f t="shared" si="21"/>
        <v>90.771435631098655</v>
      </c>
      <c r="O95" s="7">
        <f>SUM(C95:N95)</f>
        <v>828.52475783923433</v>
      </c>
      <c r="P95" s="11"/>
      <c r="Q95" s="11"/>
      <c r="R95" s="11"/>
      <c r="S95" s="11"/>
      <c r="T95" s="11"/>
      <c r="U95" s="11"/>
    </row>
    <row r="96" spans="2:21">
      <c r="B96" t="s">
        <v>580</v>
      </c>
      <c r="C96" s="7">
        <f t="shared" ref="C96:N96" si="22">C88*(35-C$73)*4.18/3600</f>
        <v>86.839572775002935</v>
      </c>
      <c r="D96" s="7">
        <f t="shared" si="22"/>
        <v>76.684732626145191</v>
      </c>
      <c r="E96" s="7">
        <f t="shared" si="22"/>
        <v>79.606087920135977</v>
      </c>
      <c r="F96" s="7">
        <f t="shared" si="22"/>
        <v>63.938119417769187</v>
      </c>
      <c r="G96" s="7">
        <f t="shared" si="22"/>
        <v>58.411382413210781</v>
      </c>
      <c r="H96" s="7">
        <f t="shared" si="22"/>
        <v>48.744074962995271</v>
      </c>
      <c r="I96" s="7">
        <f t="shared" si="22"/>
        <v>44.643359018694106</v>
      </c>
      <c r="J96" s="7">
        <f t="shared" si="22"/>
        <v>48.011099934114391</v>
      </c>
      <c r="K96" s="7">
        <f t="shared" si="22"/>
        <v>50.496990682625999</v>
      </c>
      <c r="L96" s="7">
        <f t="shared" si="22"/>
        <v>61.16768272572228</v>
      </c>
      <c r="M96" s="7">
        <f t="shared" si="22"/>
        <v>71.529202843569067</v>
      </c>
      <c r="N96" s="7">
        <f t="shared" si="22"/>
        <v>84.904875325637889</v>
      </c>
      <c r="O96" s="7">
        <f t="shared" ref="O96:O102" si="23">SUM(C96:N96)</f>
        <v>774.97718064562309</v>
      </c>
      <c r="P96" s="11"/>
      <c r="Q96" s="11"/>
      <c r="R96" s="11"/>
      <c r="S96" s="11"/>
      <c r="T96" s="11"/>
      <c r="U96" s="11"/>
    </row>
    <row r="97" spans="2:21">
      <c r="B97" t="s">
        <v>581</v>
      </c>
      <c r="C97" s="7">
        <f t="shared" ref="C97:N97" si="24">C89*(35-C$73)*4.18/3600</f>
        <v>88.256229347088492</v>
      </c>
      <c r="D97" s="7">
        <f t="shared" si="24"/>
        <v>77.935728306823222</v>
      </c>
      <c r="E97" s="7">
        <f t="shared" si="24"/>
        <v>80.904741103544367</v>
      </c>
      <c r="F97" s="7">
        <f t="shared" si="24"/>
        <v>64.981173341061265</v>
      </c>
      <c r="G97" s="7">
        <f t="shared" si="24"/>
        <v>59.364275963190316</v>
      </c>
      <c r="H97" s="7">
        <f t="shared" si="24"/>
        <v>49.539260981764308</v>
      </c>
      <c r="I97" s="7">
        <f t="shared" si="24"/>
        <v>45.371648045606662</v>
      </c>
      <c r="J97" s="7">
        <f t="shared" si="24"/>
        <v>48.794328571488549</v>
      </c>
      <c r="K97" s="7">
        <f t="shared" si="24"/>
        <v>51.320772875871405</v>
      </c>
      <c r="L97" s="7">
        <f t="shared" si="24"/>
        <v>62.165541155509274</v>
      </c>
      <c r="M97" s="7">
        <f t="shared" si="24"/>
        <v>72.696093836537585</v>
      </c>
      <c r="N97" s="7">
        <f t="shared" si="24"/>
        <v>86.289970228670327</v>
      </c>
      <c r="O97" s="7">
        <f t="shared" si="23"/>
        <v>787.61976375715562</v>
      </c>
      <c r="P97" s="11"/>
      <c r="Q97" s="11"/>
      <c r="R97" s="11"/>
      <c r="S97" s="11"/>
      <c r="T97" s="11"/>
      <c r="U97" s="11"/>
    </row>
    <row r="98" spans="2:21">
      <c r="B98" t="s">
        <v>582</v>
      </c>
      <c r="C98" s="7">
        <f t="shared" ref="C98:N98" si="25">C90*(35-C$73)*4.18/3600</f>
        <v>80.702073101160849</v>
      </c>
      <c r="D98" s="7">
        <f t="shared" si="25"/>
        <v>71.264939478370607</v>
      </c>
      <c r="E98" s="7">
        <f t="shared" si="25"/>
        <v>73.979824189986459</v>
      </c>
      <c r="F98" s="7">
        <f t="shared" si="25"/>
        <v>59.419209725647882</v>
      </c>
      <c r="G98" s="7">
        <f t="shared" si="25"/>
        <v>54.28308204215066</v>
      </c>
      <c r="H98" s="7">
        <f t="shared" si="25"/>
        <v>45.299024110865403</v>
      </c>
      <c r="I98" s="7">
        <f t="shared" si="25"/>
        <v>41.488131595749891</v>
      </c>
      <c r="J98" s="7">
        <f t="shared" si="25"/>
        <v>44.617853044820059</v>
      </c>
      <c r="K98" s="7">
        <f t="shared" si="25"/>
        <v>46.928050233694677</v>
      </c>
      <c r="L98" s="7">
        <f t="shared" si="25"/>
        <v>56.844577247630127</v>
      </c>
      <c r="M98" s="7">
        <f t="shared" si="25"/>
        <v>66.473783463973049</v>
      </c>
      <c r="N98" s="7">
        <f t="shared" si="25"/>
        <v>78.904112908613342</v>
      </c>
      <c r="O98" s="7">
        <f t="shared" si="23"/>
        <v>720.20466114266299</v>
      </c>
      <c r="P98" s="11"/>
      <c r="Q98" s="11"/>
      <c r="R98" s="11"/>
      <c r="S98" s="11"/>
      <c r="T98" s="11"/>
      <c r="U98" s="11"/>
    </row>
    <row r="99" spans="2:21">
      <c r="B99" t="s">
        <v>583</v>
      </c>
      <c r="C99" s="7">
        <f>C95*$C$93*$C$94</f>
        <v>48.508801937772731</v>
      </c>
      <c r="D99" s="7">
        <f t="shared" ref="D99:N99" si="26">D95*$C$93*$C$94</f>
        <v>42.836282903541836</v>
      </c>
      <c r="E99" s="7">
        <f t="shared" si="26"/>
        <v>44.468159256886302</v>
      </c>
      <c r="F99" s="7">
        <f t="shared" si="26"/>
        <v>35.715992974150389</v>
      </c>
      <c r="G99" s="7">
        <f t="shared" si="26"/>
        <v>32.628743899228006</v>
      </c>
      <c r="H99" s="7">
        <f t="shared" si="26"/>
        <v>27.228561846408784</v>
      </c>
      <c r="I99" s="7">
        <f t="shared" si="26"/>
        <v>24.937891692370076</v>
      </c>
      <c r="J99" s="7">
        <f t="shared" si="26"/>
        <v>26.819120167170691</v>
      </c>
      <c r="K99" s="7">
        <f t="shared" si="26"/>
        <v>28.207744939322989</v>
      </c>
      <c r="L99" s="7">
        <f t="shared" si="26"/>
        <v>34.168420128256251</v>
      </c>
      <c r="M99" s="7">
        <f t="shared" si="26"/>
        <v>39.956391108642748</v>
      </c>
      <c r="N99" s="7">
        <f t="shared" si="26"/>
        <v>47.428075117249044</v>
      </c>
      <c r="O99" s="7">
        <f t="shared" si="23"/>
        <v>432.90418597099983</v>
      </c>
      <c r="P99" s="11"/>
      <c r="Q99" s="11"/>
      <c r="R99" s="11"/>
      <c r="S99" s="11"/>
      <c r="T99" s="11"/>
      <c r="U99" s="11"/>
    </row>
    <row r="100" spans="2:21">
      <c r="B100" t="s">
        <v>584</v>
      </c>
      <c r="C100" s="7">
        <f t="shared" ref="C100:N100" si="27">C96*$C$93*$C$94</f>
        <v>45.373676774939035</v>
      </c>
      <c r="D100" s="7">
        <f t="shared" si="27"/>
        <v>40.067772797160863</v>
      </c>
      <c r="E100" s="7">
        <f t="shared" si="27"/>
        <v>41.594180938271045</v>
      </c>
      <c r="F100" s="7">
        <f t="shared" si="27"/>
        <v>33.407667395784401</v>
      </c>
      <c r="G100" s="7">
        <f t="shared" si="27"/>
        <v>30.519947310902634</v>
      </c>
      <c r="H100" s="7">
        <f t="shared" si="27"/>
        <v>25.468779168165032</v>
      </c>
      <c r="I100" s="7">
        <f t="shared" si="27"/>
        <v>23.326155087267669</v>
      </c>
      <c r="J100" s="7">
        <f t="shared" si="27"/>
        <v>25.085799715574769</v>
      </c>
      <c r="K100" s="7">
        <f t="shared" si="27"/>
        <v>26.384677631672087</v>
      </c>
      <c r="L100" s="7">
        <f t="shared" si="27"/>
        <v>31.960114224189894</v>
      </c>
      <c r="M100" s="7">
        <f t="shared" si="27"/>
        <v>37.37400848576484</v>
      </c>
      <c r="N100" s="7">
        <f t="shared" si="27"/>
        <v>44.362797357645796</v>
      </c>
      <c r="O100" s="7">
        <f t="shared" si="23"/>
        <v>404.92557688733808</v>
      </c>
      <c r="P100" s="11"/>
      <c r="Q100" s="11"/>
      <c r="R100" s="11"/>
      <c r="S100" s="11"/>
      <c r="T100" s="11"/>
      <c r="U100" s="11"/>
    </row>
    <row r="101" spans="2:21">
      <c r="B101" t="s">
        <v>585</v>
      </c>
      <c r="C101" s="7">
        <f t="shared" ref="C101:N101" si="28">C97*$C$93*$C$94</f>
        <v>46.113879833853737</v>
      </c>
      <c r="D101" s="7">
        <f t="shared" si="28"/>
        <v>40.721418040315129</v>
      </c>
      <c r="E101" s="7">
        <f t="shared" si="28"/>
        <v>42.272727226601937</v>
      </c>
      <c r="F101" s="7">
        <f t="shared" si="28"/>
        <v>33.95266307070451</v>
      </c>
      <c r="G101" s="7">
        <f t="shared" si="28"/>
        <v>31.017834190766944</v>
      </c>
      <c r="H101" s="7">
        <f t="shared" si="28"/>
        <v>25.884263862971853</v>
      </c>
      <c r="I101" s="7">
        <f t="shared" si="28"/>
        <v>23.70668610382948</v>
      </c>
      <c r="J101" s="7">
        <f t="shared" si="28"/>
        <v>25.495036678602766</v>
      </c>
      <c r="K101" s="7">
        <f t="shared" si="28"/>
        <v>26.815103827642808</v>
      </c>
      <c r="L101" s="7">
        <f t="shared" si="28"/>
        <v>32.4814952537536</v>
      </c>
      <c r="M101" s="7">
        <f t="shared" si="28"/>
        <v>37.983709029590884</v>
      </c>
      <c r="N101" s="7">
        <f t="shared" si="28"/>
        <v>45.086509444480249</v>
      </c>
      <c r="O101" s="7">
        <f t="shared" si="23"/>
        <v>411.53132656311396</v>
      </c>
      <c r="P101" s="11"/>
      <c r="Q101" s="11"/>
      <c r="R101" s="11"/>
      <c r="S101" s="11"/>
      <c r="T101" s="11"/>
      <c r="U101" s="11"/>
    </row>
    <row r="102" spans="2:21">
      <c r="B102" t="s">
        <v>586</v>
      </c>
      <c r="C102" s="7">
        <f t="shared" ref="C102:N102" si="29">C98*$C$93*$C$94</f>
        <v>42.166833195356546</v>
      </c>
      <c r="D102" s="7">
        <f t="shared" si="29"/>
        <v>37.235930877448638</v>
      </c>
      <c r="E102" s="7">
        <f t="shared" si="29"/>
        <v>38.654458139267923</v>
      </c>
      <c r="F102" s="7">
        <f t="shared" si="29"/>
        <v>31.046537081651021</v>
      </c>
      <c r="G102" s="7">
        <f t="shared" si="29"/>
        <v>28.362910367023719</v>
      </c>
      <c r="H102" s="7">
        <f t="shared" si="29"/>
        <v>23.668740097927174</v>
      </c>
      <c r="I102" s="7">
        <f t="shared" si="29"/>
        <v>21.67754875877932</v>
      </c>
      <c r="J102" s="7">
        <f t="shared" si="29"/>
        <v>23.312828215918479</v>
      </c>
      <c r="K102" s="7">
        <f t="shared" si="29"/>
        <v>24.519906247105471</v>
      </c>
      <c r="L102" s="7">
        <f t="shared" si="29"/>
        <v>29.701291611886745</v>
      </c>
      <c r="M102" s="7">
        <f t="shared" si="29"/>
        <v>34.73255185992592</v>
      </c>
      <c r="N102" s="7">
        <f t="shared" si="29"/>
        <v>41.227398994750473</v>
      </c>
      <c r="O102" s="7">
        <f t="shared" si="23"/>
        <v>376.3069354470415</v>
      </c>
      <c r="P102" s="11"/>
      <c r="Q102" s="11"/>
      <c r="R102" s="11"/>
      <c r="S102" s="11"/>
      <c r="T102" s="11"/>
      <c r="U102" s="11"/>
    </row>
    <row r="103" spans="2:21">
      <c r="B103" t="s">
        <v>587</v>
      </c>
      <c r="C103" s="6">
        <f>O99/'C&amp;B'!C13</f>
        <v>3.6968760544064891</v>
      </c>
      <c r="D103" s="11"/>
      <c r="E103" s="11"/>
      <c r="F103" s="11"/>
      <c r="G103" s="11"/>
      <c r="H103" s="11"/>
      <c r="I103" s="11"/>
      <c r="J103" s="11"/>
      <c r="K103" s="11"/>
      <c r="L103" s="11"/>
      <c r="M103" s="11"/>
      <c r="N103" s="11"/>
      <c r="O103" s="11"/>
      <c r="P103" s="11"/>
      <c r="Q103" s="11"/>
      <c r="R103" s="11"/>
      <c r="S103" s="11"/>
      <c r="T103" s="11"/>
      <c r="U103" s="11"/>
    </row>
    <row r="104" spans="2:21">
      <c r="B104" t="s">
        <v>588</v>
      </c>
      <c r="C104" s="6">
        <f>O100/'C&amp;B'!D13</f>
        <v>4.7976964086177496</v>
      </c>
      <c r="D104" s="11"/>
      <c r="E104" s="11"/>
      <c r="F104" s="11"/>
      <c r="G104" s="11"/>
      <c r="H104" s="11"/>
      <c r="I104" s="11"/>
      <c r="J104" s="11"/>
      <c r="K104" s="11"/>
      <c r="L104" s="11"/>
      <c r="M104" s="11"/>
      <c r="N104" s="11"/>
      <c r="O104" s="11"/>
      <c r="P104" s="11"/>
      <c r="Q104" s="11"/>
      <c r="R104" s="11"/>
      <c r="S104" s="11"/>
      <c r="T104" s="11"/>
      <c r="U104" s="11"/>
    </row>
    <row r="105" spans="2:21">
      <c r="B105" t="s">
        <v>589</v>
      </c>
      <c r="C105" s="6">
        <f>O101/'C&amp;B'!E13</f>
        <v>8.2306265312622795</v>
      </c>
      <c r="D105" s="11"/>
      <c r="E105" s="11"/>
      <c r="F105" s="11"/>
      <c r="G105" s="11"/>
      <c r="H105" s="11"/>
      <c r="I105" s="11"/>
      <c r="J105" s="11"/>
      <c r="K105" s="11"/>
      <c r="L105" s="11"/>
      <c r="M105" s="11"/>
      <c r="N105" s="11"/>
      <c r="O105" s="11"/>
      <c r="P105" s="11"/>
      <c r="Q105" s="11"/>
      <c r="R105" s="11"/>
      <c r="S105" s="11"/>
      <c r="T105" s="11"/>
      <c r="U105" s="11"/>
    </row>
    <row r="106" spans="2:21">
      <c r="B106" t="s">
        <v>590</v>
      </c>
      <c r="C106" s="6">
        <f>O102/'C&amp;B'!H13</f>
        <v>5.3681445855498078</v>
      </c>
      <c r="D106" s="11"/>
      <c r="E106" s="11"/>
      <c r="F106" s="11"/>
      <c r="G106" s="11"/>
      <c r="H106" s="11"/>
      <c r="I106" s="11"/>
      <c r="J106" s="11"/>
      <c r="K106" s="11"/>
      <c r="L106" s="11"/>
      <c r="M106" s="11"/>
      <c r="N106" s="11"/>
      <c r="O106" s="11"/>
      <c r="P106" s="11"/>
      <c r="Q106" s="11"/>
      <c r="R106" s="11"/>
      <c r="S106" s="11"/>
      <c r="T106" s="11"/>
      <c r="U106" s="11"/>
    </row>
    <row r="107" spans="2:21">
      <c r="B107" t="s">
        <v>592</v>
      </c>
      <c r="D107" s="11"/>
      <c r="E107" s="11"/>
      <c r="F107" s="11"/>
      <c r="G107" s="11"/>
      <c r="H107" s="11"/>
      <c r="I107" s="11"/>
      <c r="J107" s="11"/>
      <c r="K107" s="11"/>
      <c r="L107" s="11"/>
      <c r="M107" s="11"/>
      <c r="N107" s="11"/>
      <c r="O107" s="11"/>
      <c r="P107" s="11"/>
      <c r="Q107" s="11"/>
      <c r="R107" s="11"/>
      <c r="S107" s="11"/>
      <c r="T107" s="11"/>
      <c r="U107" s="11"/>
    </row>
    <row r="109" spans="2:21">
      <c r="B109" s="1" t="s">
        <v>466</v>
      </c>
    </row>
    <row r="110" spans="2:21">
      <c r="B110" t="s">
        <v>30</v>
      </c>
    </row>
    <row r="111" spans="2:21">
      <c r="B111" t="s">
        <v>31</v>
      </c>
    </row>
    <row r="112" spans="2:21">
      <c r="B112" t="s">
        <v>32</v>
      </c>
    </row>
    <row r="113" spans="2:5">
      <c r="B113" t="s">
        <v>33</v>
      </c>
      <c r="C113">
        <v>-2.95</v>
      </c>
    </row>
    <row r="114" spans="2:5">
      <c r="B114" t="s">
        <v>34</v>
      </c>
      <c r="C114">
        <v>2.89</v>
      </c>
    </row>
    <row r="115" spans="2:5">
      <c r="B115" t="s">
        <v>35</v>
      </c>
      <c r="C115">
        <v>1.17</v>
      </c>
    </row>
    <row r="116" spans="2:5">
      <c r="B116" t="s">
        <v>36</v>
      </c>
      <c r="C116">
        <v>5.67</v>
      </c>
    </row>
    <row r="117" spans="2:5">
      <c r="B117" t="s">
        <v>37</v>
      </c>
      <c r="C117">
        <v>-3.54</v>
      </c>
    </row>
    <row r="118" spans="2:5">
      <c r="B118" t="s">
        <v>38</v>
      </c>
      <c r="C118">
        <v>-4.28</v>
      </c>
    </row>
    <row r="119" spans="2:5">
      <c r="B119" t="s">
        <v>39</v>
      </c>
      <c r="C119">
        <v>-2.72</v>
      </c>
    </row>
    <row r="120" spans="2:5">
      <c r="B120" t="s">
        <v>40</v>
      </c>
      <c r="C120">
        <v>-0.25</v>
      </c>
    </row>
    <row r="121" spans="2:5">
      <c r="B121" t="s">
        <v>41</v>
      </c>
      <c r="C121">
        <v>3.07</v>
      </c>
    </row>
    <row r="122" spans="2:5">
      <c r="B122" t="s">
        <v>42</v>
      </c>
      <c r="C122">
        <f>RADIANS(45)</f>
        <v>0.78539816339744828</v>
      </c>
      <c r="D122" t="s">
        <v>43</v>
      </c>
    </row>
    <row r="123" spans="2:5">
      <c r="B123" t="s">
        <v>44</v>
      </c>
      <c r="C123">
        <f>SIN(C122/2)</f>
        <v>0.38268343236508978</v>
      </c>
    </row>
    <row r="124" spans="2:5">
      <c r="B124" t="s">
        <v>45</v>
      </c>
      <c r="C124">
        <f>(C113*(C123^3))+(C114*(C123^2))+(C115*C123)</f>
        <v>0.70564437817190662</v>
      </c>
    </row>
    <row r="125" spans="2:5">
      <c r="B125" t="s">
        <v>46</v>
      </c>
      <c r="C125">
        <f>(C116*(C123^3))+(C117*(C123^2))+(C118*C123)</f>
        <v>-1.8385440290246</v>
      </c>
    </row>
    <row r="126" spans="2:5">
      <c r="B126" t="s">
        <v>47</v>
      </c>
      <c r="C126">
        <f>(C119*(C123^3))+(C120*(C123^2))+(C121*C123)+1</f>
        <v>1.9857903650920359</v>
      </c>
    </row>
    <row r="128" spans="2:5">
      <c r="B128" t="s">
        <v>48</v>
      </c>
      <c r="C128">
        <v>50.5</v>
      </c>
      <c r="D128" t="s">
        <v>49</v>
      </c>
      <c r="E128" t="s">
        <v>50</v>
      </c>
    </row>
    <row r="131" spans="2:14">
      <c r="B131" t="s">
        <v>51</v>
      </c>
      <c r="C131" t="s">
        <v>52</v>
      </c>
      <c r="D131" t="s">
        <v>53</v>
      </c>
      <c r="E131" t="s">
        <v>54</v>
      </c>
      <c r="F131" t="s">
        <v>55</v>
      </c>
      <c r="G131" t="s">
        <v>56</v>
      </c>
      <c r="H131" t="s">
        <v>57</v>
      </c>
      <c r="I131" t="s">
        <v>58</v>
      </c>
      <c r="J131" t="s">
        <v>59</v>
      </c>
      <c r="K131" t="s">
        <v>60</v>
      </c>
      <c r="L131" t="s">
        <v>61</v>
      </c>
      <c r="M131" t="s">
        <v>62</v>
      </c>
      <c r="N131" t="s">
        <v>63</v>
      </c>
    </row>
    <row r="132" spans="2:14">
      <c r="B132" t="s">
        <v>653</v>
      </c>
      <c r="C132">
        <v>36</v>
      </c>
      <c r="D132">
        <v>63</v>
      </c>
      <c r="E132">
        <v>111</v>
      </c>
      <c r="F132">
        <v>174</v>
      </c>
      <c r="G132">
        <v>210</v>
      </c>
      <c r="H132">
        <v>233</v>
      </c>
      <c r="I132">
        <v>204</v>
      </c>
      <c r="J132">
        <v>182</v>
      </c>
      <c r="K132">
        <v>136</v>
      </c>
      <c r="L132">
        <v>78</v>
      </c>
      <c r="M132">
        <v>44</v>
      </c>
      <c r="N132">
        <v>28</v>
      </c>
    </row>
    <row r="133" spans="2:14">
      <c r="B133" t="s">
        <v>64</v>
      </c>
      <c r="C133">
        <v>-20.7</v>
      </c>
      <c r="D133">
        <v>-12.8</v>
      </c>
      <c r="E133">
        <v>-1.8</v>
      </c>
      <c r="F133">
        <v>9.8000000000000007</v>
      </c>
      <c r="G133">
        <v>18.8</v>
      </c>
      <c r="H133">
        <v>23.1</v>
      </c>
      <c r="I133">
        <v>21.2</v>
      </c>
      <c r="J133">
        <v>13.7</v>
      </c>
      <c r="K133">
        <v>2.9</v>
      </c>
      <c r="L133">
        <v>-8.6999999999999993</v>
      </c>
      <c r="M133">
        <v>-18.399999999999999</v>
      </c>
      <c r="N133">
        <v>-23</v>
      </c>
    </row>
    <row r="134" spans="2:14">
      <c r="B134" t="s">
        <v>65</v>
      </c>
      <c r="C134">
        <v>31</v>
      </c>
      <c r="D134">
        <v>28</v>
      </c>
      <c r="E134">
        <v>31</v>
      </c>
      <c r="F134">
        <v>30</v>
      </c>
      <c r="G134">
        <v>31</v>
      </c>
      <c r="H134">
        <v>30</v>
      </c>
      <c r="I134">
        <v>31</v>
      </c>
      <c r="J134">
        <v>31</v>
      </c>
      <c r="K134">
        <v>30</v>
      </c>
      <c r="L134">
        <v>31</v>
      </c>
      <c r="M134">
        <v>30</v>
      </c>
      <c r="N134">
        <v>31</v>
      </c>
    </row>
    <row r="135" spans="2:14">
      <c r="B135" t="s">
        <v>66</v>
      </c>
      <c r="C135">
        <f t="shared" ref="C135:N135" si="30">COS(RADIANS($C$128-C133))</f>
        <v>0.32226569523051113</v>
      </c>
      <c r="D135">
        <f t="shared" si="30"/>
        <v>0.44931899861589675</v>
      </c>
      <c r="E135">
        <f t="shared" si="30"/>
        <v>0.61152704018583126</v>
      </c>
      <c r="F135">
        <f t="shared" si="30"/>
        <v>0.75813433619765214</v>
      </c>
      <c r="G135">
        <f t="shared" si="30"/>
        <v>0.85081110942405125</v>
      </c>
      <c r="H135">
        <f t="shared" si="30"/>
        <v>0.88781538513640135</v>
      </c>
      <c r="I135">
        <f t="shared" si="30"/>
        <v>0.87206927243212062</v>
      </c>
      <c r="J135">
        <f t="shared" si="30"/>
        <v>0.80073137094873348</v>
      </c>
      <c r="K135">
        <f t="shared" si="30"/>
        <v>0.67430238758372341</v>
      </c>
      <c r="L135">
        <f t="shared" si="30"/>
        <v>0.51204286487057149</v>
      </c>
      <c r="M135">
        <f t="shared" si="30"/>
        <v>0.35999680812005125</v>
      </c>
      <c r="N135">
        <f t="shared" si="30"/>
        <v>0.28401534470392276</v>
      </c>
    </row>
    <row r="136" spans="2:14">
      <c r="B136" t="s">
        <v>67</v>
      </c>
      <c r="C136">
        <f t="shared" ref="C136:N136" si="31">($C$124*(C135^2))+($C$125*C135)+$C$126</f>
        <v>1.4665755180937639</v>
      </c>
      <c r="D136">
        <f t="shared" si="31"/>
        <v>1.3021584265725525</v>
      </c>
      <c r="E136">
        <f t="shared" si="31"/>
        <v>1.1253575030804157</v>
      </c>
      <c r="F136">
        <f t="shared" si="31"/>
        <v>0.99750858438279644</v>
      </c>
      <c r="G136">
        <f t="shared" si="31"/>
        <v>0.93233821067300848</v>
      </c>
      <c r="H136">
        <f t="shared" si="31"/>
        <v>0.90970299061019566</v>
      </c>
      <c r="I136">
        <f t="shared" si="31"/>
        <v>0.91909855929294526</v>
      </c>
      <c r="J136">
        <f t="shared" si="31"/>
        <v>0.96604900414053407</v>
      </c>
      <c r="K136">
        <f t="shared" si="31"/>
        <v>1.066900740381014</v>
      </c>
      <c r="L136">
        <f t="shared" si="31"/>
        <v>1.2293884277391003</v>
      </c>
      <c r="M136">
        <f t="shared" si="31"/>
        <v>1.4153702727941273</v>
      </c>
      <c r="N136">
        <f t="shared" si="31"/>
        <v>1.5205362523167643</v>
      </c>
    </row>
    <row r="137" spans="2:14">
      <c r="B137" t="s">
        <v>68</v>
      </c>
      <c r="C137">
        <f t="shared" ref="C137:N137" si="32">C132*C136</f>
        <v>52.7967186513755</v>
      </c>
      <c r="D137">
        <f t="shared" si="32"/>
        <v>82.035980874070816</v>
      </c>
      <c r="E137">
        <f t="shared" si="32"/>
        <v>124.91468284192615</v>
      </c>
      <c r="F137">
        <f t="shared" si="32"/>
        <v>173.56649368260659</v>
      </c>
      <c r="G137">
        <f t="shared" si="32"/>
        <v>195.79102424133177</v>
      </c>
      <c r="H137">
        <f t="shared" si="32"/>
        <v>211.9607968121756</v>
      </c>
      <c r="I137">
        <f t="shared" si="32"/>
        <v>187.49610609576084</v>
      </c>
      <c r="J137">
        <f t="shared" si="32"/>
        <v>175.82091875357719</v>
      </c>
      <c r="K137">
        <f t="shared" si="32"/>
        <v>145.09850069181792</v>
      </c>
      <c r="L137">
        <f t="shared" si="32"/>
        <v>95.892297363649817</v>
      </c>
      <c r="M137">
        <f t="shared" si="32"/>
        <v>62.276292002941602</v>
      </c>
      <c r="N137">
        <f t="shared" si="32"/>
        <v>42.575015064869397</v>
      </c>
    </row>
    <row r="138" spans="2:14">
      <c r="C138">
        <f t="shared" ref="C138:N138" si="33">C134*C137</f>
        <v>1636.6982781926404</v>
      </c>
      <c r="D138">
        <f t="shared" si="33"/>
        <v>2297.007464473983</v>
      </c>
      <c r="E138">
        <f t="shared" si="33"/>
        <v>3872.3551680997107</v>
      </c>
      <c r="F138">
        <f t="shared" si="33"/>
        <v>5206.9948104781979</v>
      </c>
      <c r="G138">
        <f t="shared" si="33"/>
        <v>6069.5217514812848</v>
      </c>
      <c r="H138">
        <f t="shared" si="33"/>
        <v>6358.8239043652684</v>
      </c>
      <c r="I138">
        <f t="shared" si="33"/>
        <v>5812.3792889685856</v>
      </c>
      <c r="J138">
        <f t="shared" si="33"/>
        <v>5450.4484813608924</v>
      </c>
      <c r="K138">
        <f t="shared" si="33"/>
        <v>4352.9550207545371</v>
      </c>
      <c r="L138">
        <f t="shared" si="33"/>
        <v>2972.6612182731442</v>
      </c>
      <c r="M138">
        <f t="shared" si="33"/>
        <v>1868.2887600882482</v>
      </c>
      <c r="N138">
        <f t="shared" si="33"/>
        <v>1319.8254670109513</v>
      </c>
    </row>
    <row r="139" spans="2:14">
      <c r="B139" t="s">
        <v>69</v>
      </c>
      <c r="C139">
        <f>0.024*SUM(C138:N138)</f>
        <v>1133.2310307251387</v>
      </c>
    </row>
    <row r="141" spans="2:14">
      <c r="B141" t="s">
        <v>70</v>
      </c>
      <c r="C141">
        <v>1</v>
      </c>
      <c r="D141" t="s">
        <v>71</v>
      </c>
    </row>
    <row r="142" spans="2:14">
      <c r="B142" t="s">
        <v>72</v>
      </c>
      <c r="C142">
        <v>1</v>
      </c>
      <c r="D142" t="s">
        <v>652</v>
      </c>
    </row>
    <row r="143" spans="2:14">
      <c r="B143" t="s">
        <v>73</v>
      </c>
      <c r="C143">
        <f>0.8*C141*C139*C142</f>
        <v>906.58482458011099</v>
      </c>
      <c r="D143" t="s">
        <v>26</v>
      </c>
      <c r="E143" t="s">
        <v>74</v>
      </c>
    </row>
    <row r="144" spans="2:14">
      <c r="B144" t="s">
        <v>657</v>
      </c>
      <c r="C144" s="97">
        <f>1-C217</f>
        <v>0.6</v>
      </c>
      <c r="D144" t="s">
        <v>658</v>
      </c>
    </row>
    <row r="146" spans="1:7">
      <c r="B146" s="41" t="s">
        <v>655</v>
      </c>
      <c r="C146" s="101" t="s">
        <v>17</v>
      </c>
      <c r="D146" s="101" t="s">
        <v>495</v>
      </c>
      <c r="E146" s="101" t="s">
        <v>545</v>
      </c>
      <c r="F146" s="101" t="s">
        <v>546</v>
      </c>
    </row>
    <row r="147" spans="1:7">
      <c r="B147" t="s">
        <v>656</v>
      </c>
      <c r="C147" s="6">
        <f>40%*'C&amp;B'!C12/6.5</f>
        <v>3.6246153846153848</v>
      </c>
      <c r="D147" s="6">
        <f>40%*'C&amp;B'!D12/6.5</f>
        <v>2.6215384615384618</v>
      </c>
      <c r="E147" s="6">
        <f>40%*'C&amp;B'!E12/(6.5*'C&amp;B'!E18)</f>
        <v>1.5384615384615385</v>
      </c>
      <c r="F147" s="6">
        <f>40%*'C&amp;B'!H12/(6.5*'C&amp;B'!H18)</f>
        <v>2.1569230769230767</v>
      </c>
    </row>
    <row r="148" spans="1:7">
      <c r="B148" t="s">
        <v>659</v>
      </c>
      <c r="C148" s="7">
        <f>C147*$C$143</f>
        <v>3286.0213026319102</v>
      </c>
      <c r="D148" s="7">
        <f t="shared" ref="D148:F148" si="34">D147*$C$143</f>
        <v>2376.6469862838603</v>
      </c>
      <c r="E148" s="7">
        <f t="shared" si="34"/>
        <v>1394.7458839694016</v>
      </c>
      <c r="F148" s="7">
        <f t="shared" si="34"/>
        <v>1955.4337293251008</v>
      </c>
    </row>
    <row r="149" spans="1:7">
      <c r="B149" t="s">
        <v>660</v>
      </c>
      <c r="C149" s="7">
        <f>C148/'C&amp;B'!C13</f>
        <v>28.061667827770371</v>
      </c>
      <c r="D149" s="7">
        <f>D148/'C&amp;B'!D13</f>
        <v>28.159324482036258</v>
      </c>
      <c r="E149" s="7">
        <f>E148/'C&amp;B'!E13</f>
        <v>27.89491767938803</v>
      </c>
      <c r="F149" s="7">
        <f>F148/'C&amp;B'!H13</f>
        <v>27.89491767938803</v>
      </c>
    </row>
    <row r="150" spans="1:7">
      <c r="B150" t="s">
        <v>662</v>
      </c>
    </row>
    <row r="151" spans="1:7">
      <c r="B151" t="s">
        <v>665</v>
      </c>
      <c r="C151" s="6">
        <f>C147*80%/40%</f>
        <v>7.2492307692307696</v>
      </c>
      <c r="D151" s="6">
        <f t="shared" ref="D151:F151" si="35">D147*80%/40%</f>
        <v>5.2430769230769236</v>
      </c>
      <c r="E151" s="6">
        <f t="shared" si="35"/>
        <v>3.0769230769230771</v>
      </c>
      <c r="F151" s="6">
        <f t="shared" si="35"/>
        <v>4.3138461538461534</v>
      </c>
    </row>
    <row r="152" spans="1:7">
      <c r="B152" t="s">
        <v>663</v>
      </c>
      <c r="C152" s="7">
        <f>C151*$C$143</f>
        <v>6572.0426052638204</v>
      </c>
      <c r="D152" s="7">
        <f t="shared" ref="D152:F152" si="36">D151*$C$143</f>
        <v>4753.2939725677206</v>
      </c>
      <c r="E152" s="7">
        <f t="shared" si="36"/>
        <v>2789.4917679388032</v>
      </c>
      <c r="F152" s="7">
        <f t="shared" si="36"/>
        <v>3910.8674586502016</v>
      </c>
    </row>
    <row r="153" spans="1:7">
      <c r="B153" t="s">
        <v>664</v>
      </c>
      <c r="C153" s="7">
        <f>C152/'C&amp;B'!C13</f>
        <v>56.123335655540743</v>
      </c>
      <c r="D153" s="7">
        <f>D152/'C&amp;B'!D13</f>
        <v>56.318648964072516</v>
      </c>
      <c r="E153" s="7">
        <f>E152/'C&amp;B'!E13</f>
        <v>55.78983535877606</v>
      </c>
      <c r="F153" s="7">
        <f>F152/'C&amp;B'!H13</f>
        <v>55.78983535877606</v>
      </c>
    </row>
    <row r="154" spans="1:7">
      <c r="B154" t="s">
        <v>690</v>
      </c>
      <c r="C154" s="6">
        <f>C153*$C$10</f>
        <v>7.6327736491535418</v>
      </c>
      <c r="D154" s="6">
        <f t="shared" ref="D154:F154" si="37">D153*$C$10</f>
        <v>7.6593362591138625</v>
      </c>
      <c r="E154" s="6">
        <f t="shared" si="37"/>
        <v>7.5874176087935448</v>
      </c>
      <c r="F154" s="6">
        <f t="shared" si="37"/>
        <v>7.5874176087935448</v>
      </c>
    </row>
    <row r="155" spans="1:7">
      <c r="C155" s="7"/>
      <c r="D155" s="7"/>
      <c r="E155" s="7"/>
      <c r="F155" s="7"/>
    </row>
    <row r="156" spans="1:7">
      <c r="B156" s="41" t="s">
        <v>670</v>
      </c>
      <c r="C156" s="7"/>
      <c r="D156" s="7"/>
      <c r="E156" s="7"/>
      <c r="F156" s="7"/>
    </row>
    <row r="157" spans="1:7" ht="57.6">
      <c r="A157" s="100"/>
      <c r="B157" s="121" t="s">
        <v>666</v>
      </c>
      <c r="C157" s="125" t="s">
        <v>675</v>
      </c>
      <c r="D157" s="125" t="s">
        <v>671</v>
      </c>
      <c r="E157" s="125" t="s">
        <v>672</v>
      </c>
      <c r="F157" s="125" t="s">
        <v>673</v>
      </c>
      <c r="G157" s="125" t="s">
        <v>674</v>
      </c>
    </row>
    <row r="158" spans="1:7">
      <c r="A158" s="100"/>
      <c r="B158" s="123" t="s">
        <v>667</v>
      </c>
      <c r="D158" s="122"/>
      <c r="E158" s="7"/>
      <c r="F158" s="7"/>
      <c r="G158" s="7"/>
    </row>
    <row r="159" spans="1:7">
      <c r="A159" s="100"/>
      <c r="B159" s="124" t="s">
        <v>609</v>
      </c>
      <c r="C159" s="44">
        <v>0</v>
      </c>
      <c r="D159" s="126">
        <f>Detached!D39</f>
        <v>10.808029267367754</v>
      </c>
      <c r="E159" s="126"/>
      <c r="F159" s="126"/>
      <c r="G159" s="126"/>
    </row>
    <row r="160" spans="1:7">
      <c r="A160" s="100"/>
      <c r="B160" s="124" t="s">
        <v>610</v>
      </c>
      <c r="C160" s="44">
        <v>0.1</v>
      </c>
      <c r="D160" s="126">
        <f>D$159*(1-$C160)</f>
        <v>9.7272263406309794</v>
      </c>
      <c r="E160" s="126">
        <f t="shared" ref="E160:G160" si="38">E$159*(1-$C160)</f>
        <v>0</v>
      </c>
      <c r="F160" s="126">
        <f t="shared" si="38"/>
        <v>0</v>
      </c>
      <c r="G160" s="126">
        <f t="shared" si="38"/>
        <v>0</v>
      </c>
    </row>
    <row r="161" spans="1:14">
      <c r="A161" s="100"/>
      <c r="B161" s="124" t="s">
        <v>611</v>
      </c>
      <c r="C161" s="44">
        <v>0.2</v>
      </c>
      <c r="D161" s="126">
        <f t="shared" ref="D161:G165" si="39">D$159*(1-$C161)</f>
        <v>8.6464234138942029</v>
      </c>
      <c r="E161" s="126">
        <f t="shared" si="39"/>
        <v>0</v>
      </c>
      <c r="F161" s="126">
        <f t="shared" si="39"/>
        <v>0</v>
      </c>
      <c r="G161" s="126">
        <f t="shared" si="39"/>
        <v>0</v>
      </c>
    </row>
    <row r="162" spans="1:14">
      <c r="A162" s="100"/>
      <c r="B162" s="124" t="s">
        <v>612</v>
      </c>
      <c r="C162" s="44">
        <v>0.3</v>
      </c>
      <c r="D162" s="126">
        <f t="shared" si="39"/>
        <v>7.5656204871574273</v>
      </c>
      <c r="E162" s="126">
        <f t="shared" si="39"/>
        <v>0</v>
      </c>
      <c r="F162" s="126">
        <f t="shared" si="39"/>
        <v>0</v>
      </c>
      <c r="G162" s="126">
        <f t="shared" si="39"/>
        <v>0</v>
      </c>
    </row>
    <row r="163" spans="1:14">
      <c r="A163" s="100"/>
      <c r="B163" s="124" t="s">
        <v>613</v>
      </c>
      <c r="C163" s="44">
        <v>0.4</v>
      </c>
      <c r="D163" s="126">
        <f t="shared" si="39"/>
        <v>6.4848175604206526</v>
      </c>
      <c r="E163" s="126">
        <f t="shared" si="39"/>
        <v>0</v>
      </c>
      <c r="F163" s="126">
        <f t="shared" si="39"/>
        <v>0</v>
      </c>
      <c r="G163" s="126">
        <f t="shared" si="39"/>
        <v>0</v>
      </c>
    </row>
    <row r="164" spans="1:14">
      <c r="A164" s="100"/>
      <c r="B164" s="124" t="s">
        <v>614</v>
      </c>
      <c r="C164" s="44">
        <v>0.5</v>
      </c>
      <c r="D164" s="126">
        <f t="shared" si="39"/>
        <v>5.404014633683877</v>
      </c>
      <c r="E164" s="126">
        <f t="shared" si="39"/>
        <v>0</v>
      </c>
      <c r="F164" s="126">
        <f t="shared" si="39"/>
        <v>0</v>
      </c>
      <c r="G164" s="126">
        <f t="shared" si="39"/>
        <v>0</v>
      </c>
    </row>
    <row r="165" spans="1:14">
      <c r="A165" s="100"/>
      <c r="B165" s="124" t="s">
        <v>615</v>
      </c>
      <c r="C165" s="44">
        <v>1</v>
      </c>
      <c r="D165" s="126">
        <f t="shared" si="39"/>
        <v>0</v>
      </c>
      <c r="E165" s="126">
        <f t="shared" si="39"/>
        <v>0</v>
      </c>
      <c r="F165" s="126">
        <f t="shared" si="39"/>
        <v>0</v>
      </c>
      <c r="G165" s="126">
        <f t="shared" si="39"/>
        <v>0</v>
      </c>
    </row>
    <row r="166" spans="1:14">
      <c r="A166" s="100"/>
      <c r="B166" s="123" t="s">
        <v>668</v>
      </c>
      <c r="C166" s="44"/>
      <c r="D166" s="122"/>
      <c r="E166" s="7"/>
      <c r="F166" s="7"/>
      <c r="G166" s="7"/>
    </row>
    <row r="167" spans="1:14">
      <c r="A167" s="100"/>
      <c r="B167" s="124" t="s">
        <v>609</v>
      </c>
      <c r="C167" s="44">
        <v>0</v>
      </c>
      <c r="D167" s="126">
        <f>Detached!S39</f>
        <v>3.803801960613622</v>
      </c>
      <c r="E167" s="126"/>
      <c r="F167" s="126"/>
      <c r="G167" s="126"/>
    </row>
    <row r="168" spans="1:14">
      <c r="A168" s="100"/>
      <c r="B168" s="124" t="s">
        <v>610</v>
      </c>
      <c r="C168" s="44">
        <v>0.1</v>
      </c>
      <c r="D168" s="126">
        <f>D$167*(1-$C168)</f>
        <v>3.42342176455226</v>
      </c>
      <c r="E168" s="126">
        <f t="shared" ref="E168:G168" si="40">E$167*(1-$C168)</f>
        <v>0</v>
      </c>
      <c r="F168" s="126">
        <f t="shared" si="40"/>
        <v>0</v>
      </c>
      <c r="G168" s="126">
        <f t="shared" si="40"/>
        <v>0</v>
      </c>
    </row>
    <row r="169" spans="1:14">
      <c r="A169" s="100"/>
      <c r="B169" s="124" t="s">
        <v>611</v>
      </c>
      <c r="C169" s="44">
        <v>0.2</v>
      </c>
      <c r="D169" s="126">
        <f t="shared" ref="D169:G173" si="41">D$167*(1-$C169)</f>
        <v>3.0430415684908976</v>
      </c>
      <c r="E169" s="126">
        <f t="shared" si="41"/>
        <v>0</v>
      </c>
      <c r="F169" s="126">
        <f t="shared" si="41"/>
        <v>0</v>
      </c>
      <c r="G169" s="126">
        <f t="shared" si="41"/>
        <v>0</v>
      </c>
    </row>
    <row r="170" spans="1:14">
      <c r="A170" s="100"/>
      <c r="B170" s="124" t="s">
        <v>612</v>
      </c>
      <c r="C170" s="44">
        <v>0.3</v>
      </c>
      <c r="D170" s="126">
        <f t="shared" si="41"/>
        <v>2.6626613724295352</v>
      </c>
      <c r="E170" s="126">
        <f t="shared" si="41"/>
        <v>0</v>
      </c>
      <c r="F170" s="126">
        <f t="shared" si="41"/>
        <v>0</v>
      </c>
      <c r="G170" s="126">
        <f t="shared" si="41"/>
        <v>0</v>
      </c>
    </row>
    <row r="171" spans="1:14">
      <c r="A171" s="100"/>
      <c r="B171" s="124" t="s">
        <v>613</v>
      </c>
      <c r="C171" s="44">
        <v>0.4</v>
      </c>
      <c r="D171" s="126">
        <f t="shared" si="41"/>
        <v>2.2822811763681732</v>
      </c>
      <c r="E171" s="126">
        <f t="shared" si="41"/>
        <v>0</v>
      </c>
      <c r="F171" s="126">
        <f t="shared" si="41"/>
        <v>0</v>
      </c>
      <c r="G171" s="126">
        <f t="shared" si="41"/>
        <v>0</v>
      </c>
    </row>
    <row r="172" spans="1:14">
      <c r="A172" s="100"/>
      <c r="B172" s="124" t="s">
        <v>614</v>
      </c>
      <c r="C172" s="44">
        <v>0.5</v>
      </c>
      <c r="D172" s="126">
        <f t="shared" si="41"/>
        <v>1.901900980306811</v>
      </c>
      <c r="E172" s="126">
        <f t="shared" si="41"/>
        <v>0</v>
      </c>
      <c r="F172" s="126">
        <f t="shared" si="41"/>
        <v>0</v>
      </c>
      <c r="G172" s="126">
        <f t="shared" si="41"/>
        <v>0</v>
      </c>
    </row>
    <row r="173" spans="1:14">
      <c r="A173" s="100"/>
      <c r="B173" s="124" t="s">
        <v>615</v>
      </c>
      <c r="C173" s="44">
        <v>1</v>
      </c>
      <c r="D173" s="126">
        <f t="shared" si="41"/>
        <v>0</v>
      </c>
      <c r="E173" s="126">
        <f t="shared" si="41"/>
        <v>0</v>
      </c>
      <c r="F173" s="126">
        <f t="shared" si="41"/>
        <v>0</v>
      </c>
      <c r="G173" s="126">
        <f t="shared" si="41"/>
        <v>0</v>
      </c>
    </row>
    <row r="174" spans="1:14">
      <c r="C174" s="7"/>
      <c r="D174" s="7"/>
      <c r="E174" s="7"/>
      <c r="F174" s="7"/>
    </row>
    <row r="175" spans="1:14" s="85" customFormat="1">
      <c r="B175" s="85" t="s">
        <v>866</v>
      </c>
      <c r="C175" s="87"/>
      <c r="D175" s="87"/>
      <c r="E175" s="87"/>
      <c r="F175" s="87"/>
      <c r="G175" s="87"/>
      <c r="H175" s="87"/>
      <c r="I175" s="87"/>
      <c r="J175" s="87"/>
      <c r="K175" s="87"/>
      <c r="L175" s="87"/>
      <c r="M175" s="87"/>
      <c r="N175" s="87"/>
    </row>
    <row r="176" spans="1:14" s="85" customFormat="1">
      <c r="B176" s="85" t="s">
        <v>75</v>
      </c>
      <c r="C176" s="87">
        <v>7</v>
      </c>
      <c r="D176" s="87" t="s">
        <v>76</v>
      </c>
      <c r="E176" s="87" t="s">
        <v>77</v>
      </c>
      <c r="F176" s="87"/>
      <c r="G176" s="87"/>
      <c r="H176" s="87"/>
      <c r="I176" s="87"/>
      <c r="J176" s="87"/>
      <c r="K176" s="87"/>
      <c r="L176" s="87"/>
      <c r="M176" s="87"/>
      <c r="N176" s="87"/>
    </row>
    <row r="177" spans="2:21" s="85" customFormat="1">
      <c r="B177" s="85" t="s">
        <v>78</v>
      </c>
      <c r="C177" s="87">
        <f>6.5/C176</f>
        <v>0.9285714285714286</v>
      </c>
      <c r="D177" s="87" t="s">
        <v>79</v>
      </c>
      <c r="E177" s="87" t="s">
        <v>80</v>
      </c>
      <c r="F177" s="87"/>
      <c r="G177" s="87"/>
      <c r="H177" s="87"/>
      <c r="I177" s="87"/>
      <c r="J177" s="87"/>
      <c r="K177" s="87"/>
      <c r="L177" s="87"/>
      <c r="M177" s="87"/>
      <c r="N177" s="87"/>
    </row>
    <row r="178" spans="2:21" s="85" customFormat="1">
      <c r="B178" s="85" t="s">
        <v>81</v>
      </c>
      <c r="C178" s="87">
        <f>C143*C177</f>
        <v>841.82876568153165</v>
      </c>
      <c r="D178" s="87" t="s">
        <v>26</v>
      </c>
      <c r="E178" s="87"/>
      <c r="F178" s="87"/>
      <c r="G178" s="87"/>
      <c r="H178" s="87"/>
      <c r="I178" s="87"/>
      <c r="J178" s="87"/>
      <c r="K178" s="87"/>
      <c r="L178" s="87"/>
      <c r="M178" s="87"/>
      <c r="N178" s="87"/>
    </row>
    <row r="180" spans="2:21">
      <c r="B180" s="1" t="s">
        <v>647</v>
      </c>
      <c r="C180" s="108" t="s">
        <v>646</v>
      </c>
    </row>
    <row r="181" spans="2:21" s="41" customFormat="1">
      <c r="B181" s="41" t="s">
        <v>623</v>
      </c>
      <c r="C181" s="101" t="s">
        <v>17</v>
      </c>
      <c r="D181" s="101" t="s">
        <v>495</v>
      </c>
      <c r="E181" s="101" t="s">
        <v>545</v>
      </c>
      <c r="F181" s="101" t="s">
        <v>546</v>
      </c>
      <c r="G181" s="93"/>
      <c r="H181" s="93"/>
      <c r="I181" s="93"/>
      <c r="J181" s="93"/>
      <c r="K181" s="93"/>
      <c r="L181" s="93"/>
      <c r="M181" s="93"/>
      <c r="N181" s="93"/>
      <c r="O181" s="93"/>
      <c r="P181" s="93"/>
      <c r="Q181" s="93"/>
      <c r="R181" s="93"/>
      <c r="S181" s="93"/>
      <c r="T181" s="93"/>
      <c r="U181" s="93"/>
    </row>
    <row r="182" spans="2:21">
      <c r="B182" s="1" t="s">
        <v>321</v>
      </c>
    </row>
    <row r="183" spans="2:21">
      <c r="B183" t="s">
        <v>648</v>
      </c>
      <c r="C183" s="7">
        <f>207.8*(('C&amp;B'!C13*'C&amp;B'!C21)^0.4714)</f>
        <v>3133.5993699983906</v>
      </c>
      <c r="D183" s="7">
        <f>207.8*(('C&amp;B'!D13*'C&amp;B'!D21)^0.4714)</f>
        <v>2556.2987363482139</v>
      </c>
      <c r="E183" s="7">
        <f>207.8*(('C&amp;B'!E13*'C&amp;B'!E21)^0.4714)</f>
        <v>1651.7677780666065</v>
      </c>
      <c r="F183" s="7">
        <f>207.8*(('C&amp;B'!H13*'C&amp;B'!H21)^0.4714)</f>
        <v>2213.7769169017588</v>
      </c>
    </row>
    <row r="184" spans="2:21">
      <c r="B184" t="s">
        <v>650</v>
      </c>
      <c r="C184" s="6">
        <f>C183/'C&amp;B'!C13</f>
        <v>26.760028778807776</v>
      </c>
      <c r="D184" s="6">
        <f>D183/'C&amp;B'!D13</f>
        <v>30.287899719765566</v>
      </c>
      <c r="E184" s="6">
        <f>E183/'C&amp;B'!E13</f>
        <v>33.035355561332132</v>
      </c>
      <c r="F184" s="6">
        <f>F183/'C&amp;B'!H13</f>
        <v>31.580269855945208</v>
      </c>
    </row>
    <row r="185" spans="2:21">
      <c r="B185" s="1" t="s">
        <v>320</v>
      </c>
    </row>
    <row r="186" spans="2:21">
      <c r="B186" t="s">
        <v>651</v>
      </c>
      <c r="C186" s="7">
        <f>138+(28*'C&amp;B'!C21)</f>
        <v>213.57612258783382</v>
      </c>
      <c r="D186" s="7">
        <f>138+(28*'C&amp;B'!D21)</f>
        <v>206.07771024659036</v>
      </c>
      <c r="E186" s="7">
        <f>138+(28*'C&amp;B'!E21)</f>
        <v>183.50282489437706</v>
      </c>
      <c r="F186" s="7">
        <f>138+(28*'C&amp;B'!H21)</f>
        <v>198.4077659143378</v>
      </c>
      <c r="G186" s="6"/>
      <c r="H186" s="6"/>
      <c r="I186" s="6"/>
      <c r="J186" s="6"/>
      <c r="K186" s="42"/>
    </row>
    <row r="187" spans="2:21">
      <c r="B187" t="s">
        <v>649</v>
      </c>
      <c r="C187" s="6">
        <f>C186/'C&amp;B'!C13</f>
        <v>1.8238780750455494</v>
      </c>
      <c r="D187" s="6">
        <f>D186/'C&amp;B'!D13</f>
        <v>2.4416790313577055</v>
      </c>
      <c r="E187" s="6">
        <f>E186/'C&amp;B'!E13</f>
        <v>3.6700564978875412</v>
      </c>
      <c r="F187" s="6">
        <f>F186/'C&amp;B'!H13</f>
        <v>2.8303532940704397</v>
      </c>
    </row>
    <row r="188" spans="2:21">
      <c r="B188" s="1" t="s">
        <v>867</v>
      </c>
      <c r="C188" s="6"/>
      <c r="D188" s="6"/>
      <c r="E188" s="6"/>
      <c r="F188" s="6"/>
    </row>
    <row r="189" spans="2:21">
      <c r="B189" s="71" t="s">
        <v>868</v>
      </c>
      <c r="C189" s="7">
        <f>C183+C186</f>
        <v>3347.1754925862242</v>
      </c>
      <c r="D189" s="7">
        <f t="shared" ref="D189:F190" si="42">D183+D186</f>
        <v>2762.3764465948043</v>
      </c>
      <c r="E189" s="7">
        <f t="shared" si="42"/>
        <v>1835.2706029609835</v>
      </c>
      <c r="F189" s="7">
        <f t="shared" si="42"/>
        <v>2412.1846828160965</v>
      </c>
    </row>
    <row r="190" spans="2:21">
      <c r="B190" s="71" t="s">
        <v>869</v>
      </c>
      <c r="C190" s="6">
        <f>C184+C187</f>
        <v>28.583906853853325</v>
      </c>
      <c r="D190" s="6">
        <f t="shared" si="42"/>
        <v>32.72957875112327</v>
      </c>
      <c r="E190" s="6">
        <f t="shared" si="42"/>
        <v>36.705412059219675</v>
      </c>
      <c r="F190" s="6">
        <f t="shared" si="42"/>
        <v>34.410623150015645</v>
      </c>
    </row>
    <row r="191" spans="2:21">
      <c r="C191" s="6"/>
      <c r="D191" s="6"/>
      <c r="E191" s="6"/>
      <c r="F191" s="6"/>
    </row>
    <row r="192" spans="2:21">
      <c r="B192" s="1" t="s">
        <v>861</v>
      </c>
    </row>
    <row r="193" spans="2:102">
      <c r="B193" s="1" t="s">
        <v>748</v>
      </c>
      <c r="C193" s="146"/>
      <c r="D193" s="66"/>
    </row>
    <row r="194" spans="2:102">
      <c r="B194" s="41" t="s">
        <v>28</v>
      </c>
      <c r="C194" s="146"/>
      <c r="D194" s="66"/>
    </row>
    <row r="195" spans="2:102">
      <c r="B195" t="s">
        <v>749</v>
      </c>
      <c r="C195" s="146"/>
      <c r="D195" s="66"/>
    </row>
    <row r="196" spans="2:102">
      <c r="C196" s="146">
        <v>2022</v>
      </c>
      <c r="D196" s="146">
        <v>2023</v>
      </c>
      <c r="E196" s="146">
        <v>2024</v>
      </c>
      <c r="F196" s="146">
        <v>2025</v>
      </c>
      <c r="G196" s="146">
        <v>2026</v>
      </c>
      <c r="H196" s="146">
        <v>2027</v>
      </c>
      <c r="I196" s="146">
        <v>2028</v>
      </c>
      <c r="J196" s="146">
        <v>2029</v>
      </c>
      <c r="K196" s="146">
        <v>2030</v>
      </c>
      <c r="L196" s="146">
        <v>2031</v>
      </c>
      <c r="M196" s="146">
        <v>2032</v>
      </c>
      <c r="N196" s="146">
        <v>2033</v>
      </c>
      <c r="O196" s="146">
        <v>2034</v>
      </c>
      <c r="P196" s="146">
        <v>2035</v>
      </c>
      <c r="Q196" s="146">
        <v>2036</v>
      </c>
      <c r="R196" s="146">
        <v>2037</v>
      </c>
      <c r="S196" s="146">
        <v>2038</v>
      </c>
      <c r="T196" s="146">
        <v>2039</v>
      </c>
      <c r="U196" s="146">
        <v>2040</v>
      </c>
      <c r="V196" s="146">
        <v>2041</v>
      </c>
      <c r="W196" s="146">
        <v>2042</v>
      </c>
      <c r="X196" s="146">
        <v>2043</v>
      </c>
      <c r="Y196" s="146">
        <v>2044</v>
      </c>
      <c r="Z196" s="146">
        <v>2045</v>
      </c>
      <c r="AA196" s="146">
        <v>2046</v>
      </c>
      <c r="AB196" s="146">
        <v>2047</v>
      </c>
      <c r="AC196" s="146">
        <v>2048</v>
      </c>
      <c r="AD196" s="146">
        <v>2049</v>
      </c>
      <c r="AE196" s="146">
        <v>2050</v>
      </c>
      <c r="AF196" s="146">
        <v>2051</v>
      </c>
      <c r="AG196" s="146">
        <v>2052</v>
      </c>
      <c r="AH196" s="146">
        <v>2053</v>
      </c>
      <c r="AI196" s="146">
        <v>2054</v>
      </c>
      <c r="AJ196" s="146">
        <v>2055</v>
      </c>
      <c r="AK196" s="146">
        <v>2056</v>
      </c>
      <c r="AL196" s="146">
        <v>2057</v>
      </c>
      <c r="AM196" s="146">
        <v>2058</v>
      </c>
      <c r="AN196" s="146">
        <v>2059</v>
      </c>
      <c r="AO196" s="146">
        <v>2060</v>
      </c>
      <c r="AP196" s="146">
        <v>2061</v>
      </c>
      <c r="AQ196" s="146">
        <v>2062</v>
      </c>
      <c r="AR196" s="146">
        <v>2063</v>
      </c>
      <c r="AS196" s="146">
        <v>2064</v>
      </c>
      <c r="AT196" s="146">
        <v>2065</v>
      </c>
      <c r="AU196" s="146">
        <v>2066</v>
      </c>
      <c r="AV196" s="146">
        <v>2067</v>
      </c>
      <c r="AW196" s="146">
        <v>2068</v>
      </c>
      <c r="AX196" s="146">
        <v>2069</v>
      </c>
      <c r="AY196" s="146">
        <v>2070</v>
      </c>
      <c r="AZ196" s="146">
        <v>2071</v>
      </c>
      <c r="BA196" s="146">
        <v>2072</v>
      </c>
      <c r="BB196" s="146">
        <v>2073</v>
      </c>
      <c r="BC196" s="146">
        <v>2074</v>
      </c>
      <c r="BD196" s="146">
        <v>2075</v>
      </c>
      <c r="BE196" s="146">
        <v>2076</v>
      </c>
      <c r="BF196" s="146">
        <v>2077</v>
      </c>
      <c r="BG196" s="146">
        <v>2078</v>
      </c>
      <c r="BH196" s="146">
        <v>2079</v>
      </c>
      <c r="BI196" s="146">
        <v>2080</v>
      </c>
      <c r="BJ196" s="146">
        <v>2081</v>
      </c>
      <c r="BK196" s="146">
        <v>2082</v>
      </c>
      <c r="BL196" s="146">
        <v>2083</v>
      </c>
      <c r="BM196" s="146">
        <v>2084</v>
      </c>
      <c r="BN196" s="146">
        <v>2085</v>
      </c>
      <c r="BO196" s="146">
        <v>2086</v>
      </c>
      <c r="BP196" s="146">
        <v>2087</v>
      </c>
      <c r="BQ196" s="146">
        <v>2088</v>
      </c>
      <c r="BR196" s="146">
        <v>2089</v>
      </c>
      <c r="BS196" s="146">
        <v>2090</v>
      </c>
      <c r="BT196" s="146">
        <v>2091</v>
      </c>
      <c r="BU196" s="146">
        <v>2092</v>
      </c>
      <c r="BV196" s="146">
        <v>2093</v>
      </c>
      <c r="BW196" s="146">
        <v>2094</v>
      </c>
      <c r="BX196" s="146">
        <v>2095</v>
      </c>
      <c r="BY196" s="146">
        <v>2096</v>
      </c>
      <c r="BZ196" s="146">
        <v>2097</v>
      </c>
      <c r="CA196" s="146">
        <v>2098</v>
      </c>
      <c r="CB196" s="146">
        <v>2099</v>
      </c>
      <c r="CC196" s="146">
        <v>2100</v>
      </c>
    </row>
    <row r="197" spans="2:102">
      <c r="B197" t="s">
        <v>750</v>
      </c>
      <c r="C197" s="6">
        <v>148.42889355777277</v>
      </c>
      <c r="D197" s="6">
        <v>134.46627746176173</v>
      </c>
      <c r="E197" s="6">
        <v>135.36256583664573</v>
      </c>
      <c r="F197" s="6">
        <v>125.24218236905079</v>
      </c>
      <c r="G197" s="6">
        <v>93.320413144060126</v>
      </c>
      <c r="H197" s="6">
        <v>74.76967026596175</v>
      </c>
      <c r="I197" s="6">
        <v>64.583107064587963</v>
      </c>
      <c r="J197" s="6">
        <v>58.057759715580062</v>
      </c>
      <c r="K197" s="6">
        <v>46.084165917204572</v>
      </c>
      <c r="L197" s="6">
        <v>37.089588156852514</v>
      </c>
      <c r="M197" s="6">
        <v>26.536380495989256</v>
      </c>
      <c r="N197" s="6">
        <v>19.903100791924594</v>
      </c>
      <c r="O197" s="6">
        <v>14.703135576348718</v>
      </c>
      <c r="P197" s="6">
        <v>10.240472542340878</v>
      </c>
      <c r="Q197" s="6">
        <v>9.506906431906371</v>
      </c>
      <c r="R197" s="6">
        <v>8.5872962531011545</v>
      </c>
      <c r="S197" s="6">
        <v>8.1609822400717977</v>
      </c>
      <c r="T197" s="6">
        <v>7.7992288231608802</v>
      </c>
      <c r="U197" s="6">
        <v>7.0962031070118714</v>
      </c>
      <c r="V197" s="6">
        <v>4.6665414907537475</v>
      </c>
      <c r="W197" s="6">
        <v>4.1888876644854358</v>
      </c>
      <c r="X197" s="6">
        <v>4.0556459881697</v>
      </c>
      <c r="Y197" s="6">
        <v>3.8772177761073996</v>
      </c>
      <c r="Z197" s="6">
        <v>2.5371861288188384</v>
      </c>
      <c r="AA197" s="6">
        <v>2.2745925876763455</v>
      </c>
      <c r="AB197" s="6">
        <v>1.7647724448293762</v>
      </c>
      <c r="AC197" s="6">
        <v>1.7437046034370471</v>
      </c>
      <c r="AD197" s="6">
        <v>1.6674252559368155</v>
      </c>
      <c r="AE197" s="6">
        <v>1.6405799052975254</v>
      </c>
      <c r="AF197" s="6">
        <f>AE197</f>
        <v>1.6405799052975254</v>
      </c>
      <c r="AG197" s="6">
        <f t="shared" ref="AG197:CC197" si="43">AF197</f>
        <v>1.6405799052975254</v>
      </c>
      <c r="AH197" s="6">
        <f t="shared" si="43"/>
        <v>1.6405799052975254</v>
      </c>
      <c r="AI197" s="6">
        <f t="shared" si="43"/>
        <v>1.6405799052975254</v>
      </c>
      <c r="AJ197" s="6">
        <f t="shared" si="43"/>
        <v>1.6405799052975254</v>
      </c>
      <c r="AK197" s="6">
        <f t="shared" si="43"/>
        <v>1.6405799052975254</v>
      </c>
      <c r="AL197" s="6">
        <f t="shared" si="43"/>
        <v>1.6405799052975254</v>
      </c>
      <c r="AM197" s="6">
        <f t="shared" si="43"/>
        <v>1.6405799052975254</v>
      </c>
      <c r="AN197" s="6">
        <f t="shared" si="43"/>
        <v>1.6405799052975254</v>
      </c>
      <c r="AO197" s="6">
        <f t="shared" si="43"/>
        <v>1.6405799052975254</v>
      </c>
      <c r="AP197" s="6">
        <f t="shared" si="43"/>
        <v>1.6405799052975254</v>
      </c>
      <c r="AQ197" s="6">
        <f t="shared" si="43"/>
        <v>1.6405799052975254</v>
      </c>
      <c r="AR197" s="6">
        <f t="shared" si="43"/>
        <v>1.6405799052975254</v>
      </c>
      <c r="AS197" s="6">
        <f t="shared" si="43"/>
        <v>1.6405799052975254</v>
      </c>
      <c r="AT197" s="6">
        <f t="shared" si="43"/>
        <v>1.6405799052975254</v>
      </c>
      <c r="AU197" s="6">
        <f t="shared" si="43"/>
        <v>1.6405799052975254</v>
      </c>
      <c r="AV197" s="6">
        <f t="shared" si="43"/>
        <v>1.6405799052975254</v>
      </c>
      <c r="AW197" s="6">
        <f t="shared" si="43"/>
        <v>1.6405799052975254</v>
      </c>
      <c r="AX197" s="6">
        <f t="shared" si="43"/>
        <v>1.6405799052975254</v>
      </c>
      <c r="AY197" s="6">
        <f t="shared" si="43"/>
        <v>1.6405799052975254</v>
      </c>
      <c r="AZ197" s="6">
        <f t="shared" si="43"/>
        <v>1.6405799052975254</v>
      </c>
      <c r="BA197" s="6">
        <f t="shared" si="43"/>
        <v>1.6405799052975254</v>
      </c>
      <c r="BB197" s="6">
        <f t="shared" si="43"/>
        <v>1.6405799052975254</v>
      </c>
      <c r="BC197" s="6">
        <f t="shared" si="43"/>
        <v>1.6405799052975254</v>
      </c>
      <c r="BD197" s="6">
        <f t="shared" si="43"/>
        <v>1.6405799052975254</v>
      </c>
      <c r="BE197" s="6">
        <f t="shared" si="43"/>
        <v>1.6405799052975254</v>
      </c>
      <c r="BF197" s="6">
        <f t="shared" si="43"/>
        <v>1.6405799052975254</v>
      </c>
      <c r="BG197" s="6">
        <f t="shared" si="43"/>
        <v>1.6405799052975254</v>
      </c>
      <c r="BH197" s="6">
        <f t="shared" si="43"/>
        <v>1.6405799052975254</v>
      </c>
      <c r="BI197" s="6">
        <f t="shared" si="43"/>
        <v>1.6405799052975254</v>
      </c>
      <c r="BJ197" s="6">
        <f t="shared" si="43"/>
        <v>1.6405799052975254</v>
      </c>
      <c r="BK197" s="6">
        <f t="shared" si="43"/>
        <v>1.6405799052975254</v>
      </c>
      <c r="BL197" s="6">
        <f t="shared" si="43"/>
        <v>1.6405799052975254</v>
      </c>
      <c r="BM197" s="6">
        <f t="shared" si="43"/>
        <v>1.6405799052975254</v>
      </c>
      <c r="BN197" s="6">
        <f t="shared" si="43"/>
        <v>1.6405799052975254</v>
      </c>
      <c r="BO197" s="6">
        <f t="shared" si="43"/>
        <v>1.6405799052975254</v>
      </c>
      <c r="BP197" s="6">
        <f t="shared" si="43"/>
        <v>1.6405799052975254</v>
      </c>
      <c r="BQ197" s="6">
        <f t="shared" si="43"/>
        <v>1.6405799052975254</v>
      </c>
      <c r="BR197" s="6">
        <f t="shared" si="43"/>
        <v>1.6405799052975254</v>
      </c>
      <c r="BS197" s="6">
        <f t="shared" si="43"/>
        <v>1.6405799052975254</v>
      </c>
      <c r="BT197" s="6">
        <f t="shared" si="43"/>
        <v>1.6405799052975254</v>
      </c>
      <c r="BU197" s="6">
        <f t="shared" si="43"/>
        <v>1.6405799052975254</v>
      </c>
      <c r="BV197" s="6">
        <f t="shared" si="43"/>
        <v>1.6405799052975254</v>
      </c>
      <c r="BW197" s="6">
        <f t="shared" si="43"/>
        <v>1.6405799052975254</v>
      </c>
      <c r="BX197" s="6">
        <f t="shared" si="43"/>
        <v>1.6405799052975254</v>
      </c>
      <c r="BY197" s="6">
        <f t="shared" si="43"/>
        <v>1.6405799052975254</v>
      </c>
      <c r="BZ197" s="6">
        <f t="shared" si="43"/>
        <v>1.6405799052975254</v>
      </c>
      <c r="CA197" s="6">
        <f t="shared" si="43"/>
        <v>1.6405799052975254</v>
      </c>
      <c r="CB197" s="6">
        <f t="shared" si="43"/>
        <v>1.6405799052975254</v>
      </c>
      <c r="CC197" s="6">
        <f t="shared" si="43"/>
        <v>1.6405799052975254</v>
      </c>
    </row>
    <row r="199" spans="2:102">
      <c r="B199" s="41" t="s">
        <v>29</v>
      </c>
      <c r="C199" s="146"/>
      <c r="D199" s="66"/>
    </row>
    <row r="200" spans="2:102">
      <c r="B200" t="s">
        <v>751</v>
      </c>
      <c r="C200">
        <v>0.18315999999999999</v>
      </c>
      <c r="D200" s="66" t="s">
        <v>422</v>
      </c>
    </row>
    <row r="201" spans="2:102">
      <c r="D201" s="66"/>
    </row>
    <row r="202" spans="2:102">
      <c r="B202" s="1" t="s">
        <v>467</v>
      </c>
    </row>
    <row r="203" spans="2:102">
      <c r="B203" t="s">
        <v>468</v>
      </c>
      <c r="AL203" s="75" t="s">
        <v>824</v>
      </c>
    </row>
    <row r="204" spans="2:102">
      <c r="B204" s="1" t="s">
        <v>15</v>
      </c>
      <c r="C204" s="81">
        <v>2001</v>
      </c>
      <c r="D204" s="81">
        <v>2002</v>
      </c>
      <c r="E204" s="81">
        <v>2003</v>
      </c>
      <c r="F204" s="81">
        <v>2004</v>
      </c>
      <c r="G204" s="81">
        <v>2005</v>
      </c>
      <c r="H204" s="81">
        <v>2006</v>
      </c>
      <c r="I204" s="81">
        <v>2007</v>
      </c>
      <c r="J204" s="81">
        <v>2008</v>
      </c>
      <c r="K204" s="81">
        <v>2009</v>
      </c>
      <c r="L204" s="81">
        <v>2010</v>
      </c>
      <c r="M204" s="81">
        <v>2011</v>
      </c>
      <c r="N204" s="81">
        <v>2012</v>
      </c>
      <c r="O204" s="81">
        <v>2013</v>
      </c>
      <c r="P204" s="81">
        <v>2014</v>
      </c>
      <c r="Q204" s="81">
        <v>2015</v>
      </c>
      <c r="R204" s="81">
        <v>2016</v>
      </c>
      <c r="S204" s="81">
        <v>2017</v>
      </c>
      <c r="T204" s="81">
        <v>2018</v>
      </c>
      <c r="U204" s="81">
        <v>2019</v>
      </c>
      <c r="V204" s="81">
        <v>2020</v>
      </c>
      <c r="W204" s="81">
        <v>2021</v>
      </c>
      <c r="X204" s="81">
        <v>2022</v>
      </c>
      <c r="Y204" s="81">
        <v>2023</v>
      </c>
      <c r="Z204" s="81">
        <v>2024</v>
      </c>
      <c r="AA204" s="81">
        <v>2025</v>
      </c>
      <c r="AB204" s="81">
        <v>2026</v>
      </c>
      <c r="AC204" s="81">
        <v>2027</v>
      </c>
      <c r="AD204" s="81">
        <v>2028</v>
      </c>
      <c r="AE204" s="81">
        <v>2029</v>
      </c>
      <c r="AF204" s="81">
        <v>2030</v>
      </c>
      <c r="AG204" s="81">
        <v>2031</v>
      </c>
      <c r="AH204" s="81">
        <v>2032</v>
      </c>
      <c r="AI204" s="81">
        <v>2033</v>
      </c>
      <c r="AJ204" s="81">
        <v>2034</v>
      </c>
      <c r="AK204" s="81">
        <v>2035</v>
      </c>
      <c r="AL204" s="81">
        <v>2036</v>
      </c>
      <c r="AM204" s="81">
        <v>2037</v>
      </c>
      <c r="AN204" s="81">
        <v>2038</v>
      </c>
      <c r="AO204" s="81">
        <v>2039</v>
      </c>
      <c r="AP204" s="81">
        <v>2040</v>
      </c>
      <c r="AQ204" s="81">
        <v>2041</v>
      </c>
      <c r="AR204" s="81">
        <v>2042</v>
      </c>
      <c r="AS204" s="81">
        <v>2043</v>
      </c>
      <c r="AT204" s="81">
        <v>2044</v>
      </c>
      <c r="AU204" s="81">
        <v>2045</v>
      </c>
      <c r="AV204" s="81">
        <v>2046</v>
      </c>
      <c r="AW204" s="81">
        <v>2047</v>
      </c>
      <c r="AX204" s="81">
        <v>2048</v>
      </c>
      <c r="AY204" s="81">
        <v>2049</v>
      </c>
      <c r="AZ204" s="81">
        <v>2050</v>
      </c>
      <c r="BA204" s="81">
        <v>2051</v>
      </c>
      <c r="BB204" s="81">
        <v>2052</v>
      </c>
      <c r="BC204" s="81">
        <v>2053</v>
      </c>
      <c r="BD204" s="81">
        <v>2054</v>
      </c>
      <c r="BE204" s="81">
        <v>2055</v>
      </c>
      <c r="BF204" s="81">
        <v>2056</v>
      </c>
      <c r="BG204" s="81">
        <v>2057</v>
      </c>
      <c r="BH204" s="81">
        <v>2058</v>
      </c>
      <c r="BI204" s="81">
        <v>2059</v>
      </c>
      <c r="BJ204" s="81">
        <v>2060</v>
      </c>
      <c r="BK204" s="81">
        <v>2061</v>
      </c>
      <c r="BL204" s="81">
        <v>2062</v>
      </c>
      <c r="BM204" s="81">
        <v>2063</v>
      </c>
      <c r="BN204" s="81">
        <v>2064</v>
      </c>
      <c r="BO204" s="81">
        <v>2065</v>
      </c>
      <c r="BP204" s="81">
        <v>2066</v>
      </c>
      <c r="BQ204" s="81">
        <v>2067</v>
      </c>
      <c r="BR204" s="81">
        <v>2068</v>
      </c>
      <c r="BS204" s="81">
        <v>2069</v>
      </c>
      <c r="BT204" s="81">
        <v>2070</v>
      </c>
      <c r="BU204" s="81">
        <v>2071</v>
      </c>
      <c r="BV204" s="81">
        <v>2072</v>
      </c>
      <c r="BW204" s="81">
        <v>2073</v>
      </c>
      <c r="BX204" s="81">
        <v>2074</v>
      </c>
      <c r="BY204" s="81">
        <v>2075</v>
      </c>
      <c r="BZ204" s="81">
        <v>2076</v>
      </c>
      <c r="CA204" s="81">
        <v>2077</v>
      </c>
      <c r="CB204" s="81">
        <v>2078</v>
      </c>
      <c r="CC204" s="81">
        <v>2079</v>
      </c>
      <c r="CD204" s="81">
        <v>2080</v>
      </c>
      <c r="CE204" s="81">
        <v>2081</v>
      </c>
      <c r="CF204" s="81">
        <v>2082</v>
      </c>
      <c r="CG204" s="81">
        <v>2083</v>
      </c>
      <c r="CH204" s="81">
        <v>2084</v>
      </c>
      <c r="CI204" s="81">
        <v>2085</v>
      </c>
      <c r="CJ204" s="81">
        <v>2086</v>
      </c>
      <c r="CK204" s="81">
        <v>2087</v>
      </c>
      <c r="CL204" s="81">
        <v>2088</v>
      </c>
      <c r="CM204" s="81">
        <v>2089</v>
      </c>
      <c r="CN204" s="81">
        <v>2090</v>
      </c>
      <c r="CO204" s="81">
        <v>2091</v>
      </c>
      <c r="CP204" s="81">
        <v>2092</v>
      </c>
      <c r="CQ204" s="81">
        <v>2093</v>
      </c>
      <c r="CR204" s="81">
        <v>2094</v>
      </c>
      <c r="CS204" s="81">
        <v>2095</v>
      </c>
      <c r="CT204" s="81">
        <v>2096</v>
      </c>
      <c r="CU204" s="81">
        <v>2097</v>
      </c>
      <c r="CV204" s="81">
        <v>2098</v>
      </c>
      <c r="CW204" s="81">
        <v>2099</v>
      </c>
      <c r="CX204" s="81">
        <v>2100</v>
      </c>
    </row>
    <row r="205" spans="2:102">
      <c r="B205" t="s">
        <v>469</v>
      </c>
      <c r="C205" s="78" t="s">
        <v>18</v>
      </c>
      <c r="D205" s="78" t="s">
        <v>18</v>
      </c>
      <c r="E205" s="78" t="s">
        <v>18</v>
      </c>
      <c r="F205" s="78" t="s">
        <v>18</v>
      </c>
      <c r="G205" s="79">
        <v>15.570059728311744</v>
      </c>
      <c r="H205" s="79">
        <v>15.566169157866829</v>
      </c>
      <c r="I205" s="79">
        <v>0.59855941359048426</v>
      </c>
      <c r="J205" s="79">
        <v>21.08736636353332</v>
      </c>
      <c r="K205" s="79">
        <v>13.579445225905594</v>
      </c>
      <c r="L205" s="79">
        <v>14.01693377054278</v>
      </c>
      <c r="M205" s="79">
        <v>12.627512619740489</v>
      </c>
      <c r="N205" s="79">
        <v>6.5691438874962333</v>
      </c>
      <c r="O205" s="79">
        <v>8.0878846326740188</v>
      </c>
      <c r="P205" s="79">
        <v>13.99500079011521</v>
      </c>
      <c r="Q205" s="79">
        <v>22.718967190597933</v>
      </c>
      <c r="R205" s="79">
        <v>23.166115642776621</v>
      </c>
      <c r="S205" s="79">
        <v>23.461063872209955</v>
      </c>
      <c r="T205" s="79">
        <v>30.756859343982214</v>
      </c>
      <c r="U205" s="79">
        <v>30.876233043680198</v>
      </c>
      <c r="V205" s="79">
        <v>31.659453299226751</v>
      </c>
      <c r="W205" s="79">
        <v>31.946398459717813</v>
      </c>
      <c r="X205" s="79">
        <v>32.252112769806295</v>
      </c>
      <c r="Y205" s="79">
        <v>32.568309953824006</v>
      </c>
      <c r="Z205" s="79">
        <v>32.887607110234036</v>
      </c>
      <c r="AA205" s="79">
        <v>33.210034630922607</v>
      </c>
      <c r="AB205" s="79">
        <v>33.535623205735575</v>
      </c>
      <c r="AC205" s="79">
        <v>33.864403825399656</v>
      </c>
      <c r="AD205" s="79">
        <v>34.1964077844722</v>
      </c>
      <c r="AE205" s="79">
        <v>35.596643982132896</v>
      </c>
      <c r="AF205" s="79">
        <v>42.663128276153017</v>
      </c>
      <c r="AG205" s="79">
        <v>53.984513286499556</v>
      </c>
      <c r="AH205" s="79">
        <v>65.305898296846095</v>
      </c>
      <c r="AI205" s="79">
        <v>76.627283307192641</v>
      </c>
      <c r="AJ205" s="79">
        <v>87.948668317539173</v>
      </c>
      <c r="AK205" s="79">
        <v>99.270053327885719</v>
      </c>
      <c r="AL205" s="177">
        <f>AK205</f>
        <v>99.270053327885719</v>
      </c>
      <c r="AM205" s="176">
        <f t="shared" ref="AM205:CX207" si="44">AL205</f>
        <v>99.270053327885719</v>
      </c>
      <c r="AN205" s="176">
        <f t="shared" si="44"/>
        <v>99.270053327885719</v>
      </c>
      <c r="AO205" s="176">
        <f t="shared" si="44"/>
        <v>99.270053327885719</v>
      </c>
      <c r="AP205" s="176">
        <f t="shared" si="44"/>
        <v>99.270053327885719</v>
      </c>
      <c r="AQ205" s="176">
        <f t="shared" si="44"/>
        <v>99.270053327885719</v>
      </c>
      <c r="AR205" s="176">
        <f t="shared" si="44"/>
        <v>99.270053327885719</v>
      </c>
      <c r="AS205" s="176">
        <f t="shared" si="44"/>
        <v>99.270053327885719</v>
      </c>
      <c r="AT205" s="176">
        <f t="shared" si="44"/>
        <v>99.270053327885719</v>
      </c>
      <c r="AU205" s="176">
        <f t="shared" si="44"/>
        <v>99.270053327885719</v>
      </c>
      <c r="AV205" s="176">
        <f t="shared" si="44"/>
        <v>99.270053327885719</v>
      </c>
      <c r="AW205" s="176">
        <f t="shared" si="44"/>
        <v>99.270053327885719</v>
      </c>
      <c r="AX205" s="176">
        <f t="shared" si="44"/>
        <v>99.270053327885719</v>
      </c>
      <c r="AY205" s="176">
        <f t="shared" si="44"/>
        <v>99.270053327885719</v>
      </c>
      <c r="AZ205" s="176">
        <f t="shared" si="44"/>
        <v>99.270053327885719</v>
      </c>
      <c r="BA205" s="176">
        <f t="shared" si="44"/>
        <v>99.270053327885719</v>
      </c>
      <c r="BB205" s="176">
        <f t="shared" si="44"/>
        <v>99.270053327885719</v>
      </c>
      <c r="BC205" s="176">
        <f t="shared" si="44"/>
        <v>99.270053327885719</v>
      </c>
      <c r="BD205" s="176">
        <f t="shared" si="44"/>
        <v>99.270053327885719</v>
      </c>
      <c r="BE205" s="176">
        <f t="shared" si="44"/>
        <v>99.270053327885719</v>
      </c>
      <c r="BF205" s="176">
        <f t="shared" si="44"/>
        <v>99.270053327885719</v>
      </c>
      <c r="BG205" s="176">
        <f t="shared" si="44"/>
        <v>99.270053327885719</v>
      </c>
      <c r="BH205" s="176">
        <f t="shared" si="44"/>
        <v>99.270053327885719</v>
      </c>
      <c r="BI205" s="176">
        <f t="shared" si="44"/>
        <v>99.270053327885719</v>
      </c>
      <c r="BJ205" s="176">
        <f t="shared" si="44"/>
        <v>99.270053327885719</v>
      </c>
      <c r="BK205" s="176">
        <f t="shared" si="44"/>
        <v>99.270053327885719</v>
      </c>
      <c r="BL205" s="176">
        <f t="shared" si="44"/>
        <v>99.270053327885719</v>
      </c>
      <c r="BM205" s="176">
        <f t="shared" si="44"/>
        <v>99.270053327885719</v>
      </c>
      <c r="BN205" s="176">
        <f t="shared" si="44"/>
        <v>99.270053327885719</v>
      </c>
      <c r="BO205" s="176">
        <f t="shared" si="44"/>
        <v>99.270053327885719</v>
      </c>
      <c r="BP205" s="176">
        <f t="shared" si="44"/>
        <v>99.270053327885719</v>
      </c>
      <c r="BQ205" s="176">
        <f t="shared" si="44"/>
        <v>99.270053327885719</v>
      </c>
      <c r="BR205" s="176">
        <f t="shared" si="44"/>
        <v>99.270053327885719</v>
      </c>
      <c r="BS205" s="176">
        <f t="shared" si="44"/>
        <v>99.270053327885719</v>
      </c>
      <c r="BT205" s="176">
        <f t="shared" si="44"/>
        <v>99.270053327885719</v>
      </c>
      <c r="BU205" s="176">
        <f t="shared" si="44"/>
        <v>99.270053327885719</v>
      </c>
      <c r="BV205" s="176">
        <f t="shared" si="44"/>
        <v>99.270053327885719</v>
      </c>
      <c r="BW205" s="176">
        <f t="shared" si="44"/>
        <v>99.270053327885719</v>
      </c>
      <c r="BX205" s="176">
        <f t="shared" si="44"/>
        <v>99.270053327885719</v>
      </c>
      <c r="BY205" s="176">
        <f t="shared" si="44"/>
        <v>99.270053327885719</v>
      </c>
      <c r="BZ205" s="176">
        <f t="shared" si="44"/>
        <v>99.270053327885719</v>
      </c>
      <c r="CA205" s="176">
        <f t="shared" si="44"/>
        <v>99.270053327885719</v>
      </c>
      <c r="CB205" s="176">
        <f t="shared" si="44"/>
        <v>99.270053327885719</v>
      </c>
      <c r="CC205" s="176">
        <f t="shared" si="44"/>
        <v>99.270053327885719</v>
      </c>
      <c r="CD205" s="176">
        <f t="shared" si="44"/>
        <v>99.270053327885719</v>
      </c>
      <c r="CE205" s="176">
        <f t="shared" si="44"/>
        <v>99.270053327885719</v>
      </c>
      <c r="CF205" s="176">
        <f t="shared" si="44"/>
        <v>99.270053327885719</v>
      </c>
      <c r="CG205" s="176">
        <f t="shared" si="44"/>
        <v>99.270053327885719</v>
      </c>
      <c r="CH205" s="176">
        <f t="shared" si="44"/>
        <v>99.270053327885719</v>
      </c>
      <c r="CI205" s="176">
        <f t="shared" si="44"/>
        <v>99.270053327885719</v>
      </c>
      <c r="CJ205" s="176">
        <f t="shared" si="44"/>
        <v>99.270053327885719</v>
      </c>
      <c r="CK205" s="176">
        <f t="shared" si="44"/>
        <v>99.270053327885719</v>
      </c>
      <c r="CL205" s="176">
        <f t="shared" si="44"/>
        <v>99.270053327885719</v>
      </c>
      <c r="CM205" s="176">
        <f t="shared" si="44"/>
        <v>99.270053327885719</v>
      </c>
      <c r="CN205" s="176">
        <f t="shared" si="44"/>
        <v>99.270053327885719</v>
      </c>
      <c r="CO205" s="176">
        <f t="shared" si="44"/>
        <v>99.270053327885719</v>
      </c>
      <c r="CP205" s="176">
        <f t="shared" si="44"/>
        <v>99.270053327885719</v>
      </c>
      <c r="CQ205" s="176">
        <f t="shared" si="44"/>
        <v>99.270053327885719</v>
      </c>
      <c r="CR205" s="176">
        <f t="shared" si="44"/>
        <v>99.270053327885719</v>
      </c>
      <c r="CS205" s="176">
        <f t="shared" si="44"/>
        <v>99.270053327885719</v>
      </c>
      <c r="CT205" s="176">
        <f t="shared" si="44"/>
        <v>99.270053327885719</v>
      </c>
      <c r="CU205" s="176">
        <f t="shared" si="44"/>
        <v>99.270053327885719</v>
      </c>
      <c r="CV205" s="176">
        <f t="shared" si="44"/>
        <v>99.270053327885719</v>
      </c>
      <c r="CW205" s="176">
        <f t="shared" si="44"/>
        <v>99.270053327885719</v>
      </c>
      <c r="CX205" s="176">
        <f t="shared" si="44"/>
        <v>99.270053327885719</v>
      </c>
    </row>
    <row r="206" spans="2:102">
      <c r="B206" t="s">
        <v>470</v>
      </c>
      <c r="C206" s="80">
        <v>10.07080744760764</v>
      </c>
      <c r="D206" s="80">
        <v>10.096798816435888</v>
      </c>
      <c r="E206" s="80">
        <v>9.8969060843695988</v>
      </c>
      <c r="F206" s="80">
        <v>9.9001079304014237</v>
      </c>
      <c r="G206" s="80">
        <v>10.662123627014829</v>
      </c>
      <c r="H206" s="80">
        <v>12.17973804595438</v>
      </c>
      <c r="I206" s="80">
        <v>13.187590678165288</v>
      </c>
      <c r="J206" s="80">
        <v>14.720798240389124</v>
      </c>
      <c r="K206" s="80">
        <v>14.833532808062788</v>
      </c>
      <c r="L206" s="80">
        <v>14.182584562767781</v>
      </c>
      <c r="M206" s="80">
        <v>15.066426389227402</v>
      </c>
      <c r="N206" s="80">
        <v>15.65888090329257</v>
      </c>
      <c r="O206" s="80">
        <v>16.392808275487127</v>
      </c>
      <c r="P206" s="80">
        <v>16.514262517038617</v>
      </c>
      <c r="Q206" s="80">
        <v>16.20544121159481</v>
      </c>
      <c r="R206" s="80">
        <v>15.940683534405679</v>
      </c>
      <c r="S206" s="80">
        <v>16.534759014662125</v>
      </c>
      <c r="T206" s="80">
        <v>18.561438195341182</v>
      </c>
      <c r="U206" s="80">
        <v>20.088126838979473</v>
      </c>
      <c r="V206" s="80">
        <v>20.326237832310738</v>
      </c>
      <c r="W206" s="80">
        <v>20.199119366064885</v>
      </c>
      <c r="X206" s="80">
        <v>19.653163326355173</v>
      </c>
      <c r="Y206" s="80">
        <v>19.720130796860182</v>
      </c>
      <c r="Z206" s="80">
        <v>19.760686347100666</v>
      </c>
      <c r="AA206" s="80">
        <v>20.495899473520652</v>
      </c>
      <c r="AB206" s="80">
        <v>20.106742940530978</v>
      </c>
      <c r="AC206" s="80">
        <v>19.786987354469222</v>
      </c>
      <c r="AD206" s="80">
        <v>19.971267387633414</v>
      </c>
      <c r="AE206" s="80">
        <v>19.391933649377282</v>
      </c>
      <c r="AF206" s="80">
        <v>19.946753897435709</v>
      </c>
      <c r="AG206" s="80">
        <v>20.376991952885067</v>
      </c>
      <c r="AH206" s="80">
        <v>20.470054240870503</v>
      </c>
      <c r="AI206" s="80">
        <v>20.446745910290005</v>
      </c>
      <c r="AJ206" s="80">
        <v>20.615124700356745</v>
      </c>
      <c r="AK206" s="80">
        <v>20.054029717772853</v>
      </c>
      <c r="AL206" s="177">
        <f t="shared" ref="AL206:BA207" si="45">AK206</f>
        <v>20.054029717772853</v>
      </c>
      <c r="AM206" s="176">
        <f t="shared" si="45"/>
        <v>20.054029717772853</v>
      </c>
      <c r="AN206" s="176">
        <f t="shared" si="45"/>
        <v>20.054029717772853</v>
      </c>
      <c r="AO206" s="176">
        <f t="shared" si="45"/>
        <v>20.054029717772853</v>
      </c>
      <c r="AP206" s="176">
        <f t="shared" si="45"/>
        <v>20.054029717772853</v>
      </c>
      <c r="AQ206" s="176">
        <f t="shared" si="45"/>
        <v>20.054029717772853</v>
      </c>
      <c r="AR206" s="176">
        <f t="shared" si="45"/>
        <v>20.054029717772853</v>
      </c>
      <c r="AS206" s="176">
        <f t="shared" si="45"/>
        <v>20.054029717772853</v>
      </c>
      <c r="AT206" s="176">
        <f t="shared" si="45"/>
        <v>20.054029717772853</v>
      </c>
      <c r="AU206" s="176">
        <f t="shared" si="45"/>
        <v>20.054029717772853</v>
      </c>
      <c r="AV206" s="176">
        <f t="shared" si="45"/>
        <v>20.054029717772853</v>
      </c>
      <c r="AW206" s="176">
        <f t="shared" si="45"/>
        <v>20.054029717772853</v>
      </c>
      <c r="AX206" s="176">
        <f t="shared" si="45"/>
        <v>20.054029717772853</v>
      </c>
      <c r="AY206" s="176">
        <f t="shared" si="45"/>
        <v>20.054029717772853</v>
      </c>
      <c r="AZ206" s="176">
        <f t="shared" si="45"/>
        <v>20.054029717772853</v>
      </c>
      <c r="BA206" s="176">
        <f t="shared" si="45"/>
        <v>20.054029717772853</v>
      </c>
      <c r="BB206" s="176">
        <f t="shared" si="44"/>
        <v>20.054029717772853</v>
      </c>
      <c r="BC206" s="176">
        <f t="shared" si="44"/>
        <v>20.054029717772853</v>
      </c>
      <c r="BD206" s="176">
        <f t="shared" si="44"/>
        <v>20.054029717772853</v>
      </c>
      <c r="BE206" s="176">
        <f t="shared" si="44"/>
        <v>20.054029717772853</v>
      </c>
      <c r="BF206" s="176">
        <f t="shared" si="44"/>
        <v>20.054029717772853</v>
      </c>
      <c r="BG206" s="176">
        <f t="shared" si="44"/>
        <v>20.054029717772853</v>
      </c>
      <c r="BH206" s="176">
        <f t="shared" si="44"/>
        <v>20.054029717772853</v>
      </c>
      <c r="BI206" s="176">
        <f t="shared" si="44"/>
        <v>20.054029717772853</v>
      </c>
      <c r="BJ206" s="176">
        <f t="shared" si="44"/>
        <v>20.054029717772853</v>
      </c>
      <c r="BK206" s="176">
        <f t="shared" si="44"/>
        <v>20.054029717772853</v>
      </c>
      <c r="BL206" s="176">
        <f t="shared" si="44"/>
        <v>20.054029717772853</v>
      </c>
      <c r="BM206" s="176">
        <f t="shared" si="44"/>
        <v>20.054029717772853</v>
      </c>
      <c r="BN206" s="176">
        <f t="shared" si="44"/>
        <v>20.054029717772853</v>
      </c>
      <c r="BO206" s="176">
        <f t="shared" si="44"/>
        <v>20.054029717772853</v>
      </c>
      <c r="BP206" s="176">
        <f t="shared" si="44"/>
        <v>20.054029717772853</v>
      </c>
      <c r="BQ206" s="176">
        <f t="shared" si="44"/>
        <v>20.054029717772853</v>
      </c>
      <c r="BR206" s="176">
        <f t="shared" si="44"/>
        <v>20.054029717772853</v>
      </c>
      <c r="BS206" s="176">
        <f t="shared" si="44"/>
        <v>20.054029717772853</v>
      </c>
      <c r="BT206" s="176">
        <f t="shared" si="44"/>
        <v>20.054029717772853</v>
      </c>
      <c r="BU206" s="176">
        <f t="shared" si="44"/>
        <v>20.054029717772853</v>
      </c>
      <c r="BV206" s="176">
        <f t="shared" si="44"/>
        <v>20.054029717772853</v>
      </c>
      <c r="BW206" s="176">
        <f t="shared" si="44"/>
        <v>20.054029717772853</v>
      </c>
      <c r="BX206" s="176">
        <f t="shared" si="44"/>
        <v>20.054029717772853</v>
      </c>
      <c r="BY206" s="176">
        <f t="shared" si="44"/>
        <v>20.054029717772853</v>
      </c>
      <c r="BZ206" s="176">
        <f t="shared" si="44"/>
        <v>20.054029717772853</v>
      </c>
      <c r="CA206" s="176">
        <f t="shared" si="44"/>
        <v>20.054029717772853</v>
      </c>
      <c r="CB206" s="176">
        <f t="shared" si="44"/>
        <v>20.054029717772853</v>
      </c>
      <c r="CC206" s="176">
        <f t="shared" si="44"/>
        <v>20.054029717772853</v>
      </c>
      <c r="CD206" s="176">
        <f t="shared" si="44"/>
        <v>20.054029717772853</v>
      </c>
      <c r="CE206" s="176">
        <f t="shared" si="44"/>
        <v>20.054029717772853</v>
      </c>
      <c r="CF206" s="176">
        <f t="shared" si="44"/>
        <v>20.054029717772853</v>
      </c>
      <c r="CG206" s="176">
        <f t="shared" si="44"/>
        <v>20.054029717772853</v>
      </c>
      <c r="CH206" s="176">
        <f t="shared" si="44"/>
        <v>20.054029717772853</v>
      </c>
      <c r="CI206" s="176">
        <f t="shared" si="44"/>
        <v>20.054029717772853</v>
      </c>
      <c r="CJ206" s="176">
        <f t="shared" si="44"/>
        <v>20.054029717772853</v>
      </c>
      <c r="CK206" s="176">
        <f t="shared" si="44"/>
        <v>20.054029717772853</v>
      </c>
      <c r="CL206" s="176">
        <f t="shared" si="44"/>
        <v>20.054029717772853</v>
      </c>
      <c r="CM206" s="176">
        <f t="shared" si="44"/>
        <v>20.054029717772853</v>
      </c>
      <c r="CN206" s="176">
        <f t="shared" si="44"/>
        <v>20.054029717772853</v>
      </c>
      <c r="CO206" s="176">
        <f t="shared" si="44"/>
        <v>20.054029717772853</v>
      </c>
      <c r="CP206" s="176">
        <f t="shared" si="44"/>
        <v>20.054029717772853</v>
      </c>
      <c r="CQ206" s="176">
        <f t="shared" si="44"/>
        <v>20.054029717772853</v>
      </c>
      <c r="CR206" s="176">
        <f t="shared" si="44"/>
        <v>20.054029717772853</v>
      </c>
      <c r="CS206" s="176">
        <f t="shared" si="44"/>
        <v>20.054029717772853</v>
      </c>
      <c r="CT206" s="176">
        <f t="shared" si="44"/>
        <v>20.054029717772853</v>
      </c>
      <c r="CU206" s="176">
        <f t="shared" si="44"/>
        <v>20.054029717772853</v>
      </c>
      <c r="CV206" s="176">
        <f t="shared" si="44"/>
        <v>20.054029717772853</v>
      </c>
      <c r="CW206" s="176">
        <f t="shared" si="44"/>
        <v>20.054029717772853</v>
      </c>
      <c r="CX206" s="176">
        <f t="shared" si="44"/>
        <v>20.054029717772853</v>
      </c>
    </row>
    <row r="207" spans="2:102">
      <c r="B207" t="s">
        <v>471</v>
      </c>
      <c r="C207" s="80">
        <v>2.2851880868851264</v>
      </c>
      <c r="D207" s="80">
        <v>2.3112053290765378</v>
      </c>
      <c r="E207" s="80">
        <v>2.3376891334752945</v>
      </c>
      <c r="F207" s="80">
        <v>2.4122346313751235</v>
      </c>
      <c r="G207" s="80">
        <v>2.6925773838788394</v>
      </c>
      <c r="H207" s="80">
        <v>3.1927848075544585</v>
      </c>
      <c r="I207" s="80">
        <v>3.5491367088182337</v>
      </c>
      <c r="J207" s="80">
        <v>4.0428433945716726</v>
      </c>
      <c r="K207" s="80">
        <v>4.4954150801825739</v>
      </c>
      <c r="L207" s="80">
        <v>4.2746707780366231</v>
      </c>
      <c r="M207" s="80">
        <v>4.5906099171127446</v>
      </c>
      <c r="N207" s="80">
        <v>5.0227108082568055</v>
      </c>
      <c r="O207" s="80">
        <v>5.2429278567392812</v>
      </c>
      <c r="P207" s="80">
        <v>5.3141399016575477</v>
      </c>
      <c r="Q207" s="80">
        <v>5.0250119252451784</v>
      </c>
      <c r="R207" s="80">
        <v>4.483098874483443</v>
      </c>
      <c r="S207" s="80">
        <v>4.2641387346939972</v>
      </c>
      <c r="T207" s="80">
        <v>4.5280213327005328</v>
      </c>
      <c r="U207" s="80">
        <v>5.0314553705918756</v>
      </c>
      <c r="V207" s="80">
        <v>4.8950730745288977</v>
      </c>
      <c r="W207" s="80">
        <v>4.6537822343291886</v>
      </c>
      <c r="X207" s="80">
        <v>4.5968578358675805</v>
      </c>
      <c r="Y207" s="80">
        <v>4.644922789455884</v>
      </c>
      <c r="Z207" s="80">
        <v>4.674409908402267</v>
      </c>
      <c r="AA207" s="80">
        <v>4.7507377806153688</v>
      </c>
      <c r="AB207" s="80">
        <v>4.8299246244447689</v>
      </c>
      <c r="AC207" s="80">
        <v>4.8691915463510735</v>
      </c>
      <c r="AD207" s="80">
        <v>4.9201849862816083</v>
      </c>
      <c r="AE207" s="80">
        <v>4.9523934525586197</v>
      </c>
      <c r="AF207" s="80">
        <v>5.035949186751143</v>
      </c>
      <c r="AG207" s="80">
        <v>5.0776286712487551</v>
      </c>
      <c r="AH207" s="80">
        <v>5.0776286712487551</v>
      </c>
      <c r="AI207" s="80">
        <v>5.0776286712487551</v>
      </c>
      <c r="AJ207" s="80">
        <v>5.0776286712487551</v>
      </c>
      <c r="AK207" s="80">
        <v>5.0776286712487551</v>
      </c>
      <c r="AL207" s="177">
        <f t="shared" si="45"/>
        <v>5.0776286712487551</v>
      </c>
      <c r="AM207" s="176">
        <f t="shared" si="44"/>
        <v>5.0776286712487551</v>
      </c>
      <c r="AN207" s="176">
        <f t="shared" si="44"/>
        <v>5.0776286712487551</v>
      </c>
      <c r="AO207" s="176">
        <f t="shared" si="44"/>
        <v>5.0776286712487551</v>
      </c>
      <c r="AP207" s="176">
        <f t="shared" si="44"/>
        <v>5.0776286712487551</v>
      </c>
      <c r="AQ207" s="176">
        <f t="shared" si="44"/>
        <v>5.0776286712487551</v>
      </c>
      <c r="AR207" s="176">
        <f t="shared" si="44"/>
        <v>5.0776286712487551</v>
      </c>
      <c r="AS207" s="176">
        <f t="shared" si="44"/>
        <v>5.0776286712487551</v>
      </c>
      <c r="AT207" s="176">
        <f t="shared" si="44"/>
        <v>5.0776286712487551</v>
      </c>
      <c r="AU207" s="176">
        <f t="shared" si="44"/>
        <v>5.0776286712487551</v>
      </c>
      <c r="AV207" s="176">
        <f t="shared" si="44"/>
        <v>5.0776286712487551</v>
      </c>
      <c r="AW207" s="176">
        <f t="shared" si="44"/>
        <v>5.0776286712487551</v>
      </c>
      <c r="AX207" s="176">
        <f t="shared" si="44"/>
        <v>5.0776286712487551</v>
      </c>
      <c r="AY207" s="176">
        <f t="shared" si="44"/>
        <v>5.0776286712487551</v>
      </c>
      <c r="AZ207" s="176">
        <f t="shared" si="44"/>
        <v>5.0776286712487551</v>
      </c>
      <c r="BA207" s="176">
        <f t="shared" si="44"/>
        <v>5.0776286712487551</v>
      </c>
      <c r="BB207" s="176">
        <f t="shared" si="44"/>
        <v>5.0776286712487551</v>
      </c>
      <c r="BC207" s="176">
        <f t="shared" si="44"/>
        <v>5.0776286712487551</v>
      </c>
      <c r="BD207" s="176">
        <f t="shared" si="44"/>
        <v>5.0776286712487551</v>
      </c>
      <c r="BE207" s="176">
        <f t="shared" si="44"/>
        <v>5.0776286712487551</v>
      </c>
      <c r="BF207" s="176">
        <f t="shared" si="44"/>
        <v>5.0776286712487551</v>
      </c>
      <c r="BG207" s="176">
        <f t="shared" si="44"/>
        <v>5.0776286712487551</v>
      </c>
      <c r="BH207" s="176">
        <f t="shared" si="44"/>
        <v>5.0776286712487551</v>
      </c>
      <c r="BI207" s="176">
        <f t="shared" si="44"/>
        <v>5.0776286712487551</v>
      </c>
      <c r="BJ207" s="176">
        <f t="shared" si="44"/>
        <v>5.0776286712487551</v>
      </c>
      <c r="BK207" s="176">
        <f t="shared" si="44"/>
        <v>5.0776286712487551</v>
      </c>
      <c r="BL207" s="176">
        <f t="shared" si="44"/>
        <v>5.0776286712487551</v>
      </c>
      <c r="BM207" s="176">
        <f t="shared" si="44"/>
        <v>5.0776286712487551</v>
      </c>
      <c r="BN207" s="176">
        <f t="shared" si="44"/>
        <v>5.0776286712487551</v>
      </c>
      <c r="BO207" s="176">
        <f t="shared" si="44"/>
        <v>5.0776286712487551</v>
      </c>
      <c r="BP207" s="176">
        <f t="shared" si="44"/>
        <v>5.0776286712487551</v>
      </c>
      <c r="BQ207" s="176">
        <f t="shared" si="44"/>
        <v>5.0776286712487551</v>
      </c>
      <c r="BR207" s="176">
        <f t="shared" si="44"/>
        <v>5.0776286712487551</v>
      </c>
      <c r="BS207" s="176">
        <f t="shared" si="44"/>
        <v>5.0776286712487551</v>
      </c>
      <c r="BT207" s="176">
        <f t="shared" si="44"/>
        <v>5.0776286712487551</v>
      </c>
      <c r="BU207" s="176">
        <f t="shared" si="44"/>
        <v>5.0776286712487551</v>
      </c>
      <c r="BV207" s="176">
        <f t="shared" si="44"/>
        <v>5.0776286712487551</v>
      </c>
      <c r="BW207" s="176">
        <f t="shared" si="44"/>
        <v>5.0776286712487551</v>
      </c>
      <c r="BX207" s="176">
        <f t="shared" si="44"/>
        <v>5.0776286712487551</v>
      </c>
      <c r="BY207" s="176">
        <f t="shared" si="44"/>
        <v>5.0776286712487551</v>
      </c>
      <c r="BZ207" s="176">
        <f t="shared" si="44"/>
        <v>5.0776286712487551</v>
      </c>
      <c r="CA207" s="176">
        <f t="shared" si="44"/>
        <v>5.0776286712487551</v>
      </c>
      <c r="CB207" s="176">
        <f t="shared" si="44"/>
        <v>5.0776286712487551</v>
      </c>
      <c r="CC207" s="176">
        <f t="shared" si="44"/>
        <v>5.0776286712487551</v>
      </c>
      <c r="CD207" s="176">
        <f t="shared" si="44"/>
        <v>5.0776286712487551</v>
      </c>
      <c r="CE207" s="176">
        <f t="shared" si="44"/>
        <v>5.0776286712487551</v>
      </c>
      <c r="CF207" s="176">
        <f t="shared" si="44"/>
        <v>5.0776286712487551</v>
      </c>
      <c r="CG207" s="176">
        <f t="shared" si="44"/>
        <v>5.0776286712487551</v>
      </c>
      <c r="CH207" s="176">
        <f t="shared" si="44"/>
        <v>5.0776286712487551</v>
      </c>
      <c r="CI207" s="176">
        <f t="shared" si="44"/>
        <v>5.0776286712487551</v>
      </c>
      <c r="CJ207" s="176">
        <f t="shared" si="44"/>
        <v>5.0776286712487551</v>
      </c>
      <c r="CK207" s="176">
        <f t="shared" si="44"/>
        <v>5.0776286712487551</v>
      </c>
      <c r="CL207" s="176">
        <f t="shared" si="44"/>
        <v>5.0776286712487551</v>
      </c>
      <c r="CM207" s="176">
        <f t="shared" si="44"/>
        <v>5.0776286712487551</v>
      </c>
      <c r="CN207" s="176">
        <f t="shared" si="44"/>
        <v>5.0776286712487551</v>
      </c>
      <c r="CO207" s="176">
        <f t="shared" si="44"/>
        <v>5.0776286712487551</v>
      </c>
      <c r="CP207" s="176">
        <f t="shared" si="44"/>
        <v>5.0776286712487551</v>
      </c>
      <c r="CQ207" s="176">
        <f t="shared" si="44"/>
        <v>5.0776286712487551</v>
      </c>
      <c r="CR207" s="176">
        <f t="shared" si="44"/>
        <v>5.0776286712487551</v>
      </c>
      <c r="CS207" s="176">
        <f t="shared" si="44"/>
        <v>5.0776286712487551</v>
      </c>
      <c r="CT207" s="176">
        <f t="shared" si="44"/>
        <v>5.0776286712487551</v>
      </c>
      <c r="CU207" s="176">
        <f t="shared" si="44"/>
        <v>5.0776286712487551</v>
      </c>
      <c r="CV207" s="176">
        <f t="shared" si="44"/>
        <v>5.0776286712487551</v>
      </c>
      <c r="CW207" s="176">
        <f t="shared" si="44"/>
        <v>5.0776286712487551</v>
      </c>
      <c r="CX207" s="176">
        <f t="shared" si="44"/>
        <v>5.0776286712487551</v>
      </c>
    </row>
    <row r="209" spans="2:15">
      <c r="B209" s="1" t="s">
        <v>794</v>
      </c>
    </row>
    <row r="210" spans="2:15">
      <c r="B210" t="s">
        <v>798</v>
      </c>
    </row>
    <row r="211" spans="2:15">
      <c r="B211" t="s">
        <v>795</v>
      </c>
      <c r="C211" t="s">
        <v>796</v>
      </c>
      <c r="D211" t="s">
        <v>797</v>
      </c>
    </row>
    <row r="212" spans="2:15">
      <c r="B212">
        <v>0</v>
      </c>
      <c r="C212">
        <v>30</v>
      </c>
      <c r="D212" s="174">
        <v>3.5000000000000003E-2</v>
      </c>
    </row>
    <row r="213" spans="2:15">
      <c r="B213">
        <v>31</v>
      </c>
      <c r="C213">
        <v>75</v>
      </c>
      <c r="D213" s="97">
        <v>0.03</v>
      </c>
    </row>
    <row r="214" spans="2:15">
      <c r="B214">
        <v>76</v>
      </c>
      <c r="C214">
        <v>125</v>
      </c>
      <c r="D214" s="174">
        <v>2.5000000000000001E-2</v>
      </c>
    </row>
    <row r="216" spans="2:15">
      <c r="B216" s="1" t="s">
        <v>838</v>
      </c>
    </row>
    <row r="217" spans="2:15">
      <c r="B217" t="s">
        <v>839</v>
      </c>
      <c r="C217" s="97">
        <v>0.4</v>
      </c>
      <c r="D217" t="s">
        <v>840</v>
      </c>
    </row>
    <row r="218" spans="2:15">
      <c r="B218" t="s">
        <v>841</v>
      </c>
      <c r="C218">
        <v>5</v>
      </c>
      <c r="D218" t="s">
        <v>842</v>
      </c>
      <c r="E218" t="s">
        <v>843</v>
      </c>
      <c r="F218" t="s">
        <v>846</v>
      </c>
    </row>
    <row r="220" spans="2:15" s="85" customFormat="1">
      <c r="B220" s="83" t="s">
        <v>525</v>
      </c>
      <c r="C220" s="84"/>
      <c r="D220" s="84"/>
      <c r="E220" s="84"/>
      <c r="F220" s="84"/>
      <c r="G220" s="84"/>
      <c r="H220" s="84"/>
      <c r="I220" s="84"/>
      <c r="J220" s="84"/>
      <c r="K220" s="84"/>
      <c r="L220" s="84"/>
      <c r="M220" s="84"/>
      <c r="N220" s="84"/>
      <c r="O220" s="84"/>
    </row>
    <row r="221" spans="2:15" s="85" customFormat="1">
      <c r="B221" s="84" t="s">
        <v>396</v>
      </c>
      <c r="C221" s="86" t="s">
        <v>397</v>
      </c>
      <c r="D221" s="86" t="s">
        <v>398</v>
      </c>
      <c r="E221" s="86" t="s">
        <v>399</v>
      </c>
      <c r="F221" s="86" t="s">
        <v>400</v>
      </c>
      <c r="G221" s="86" t="s">
        <v>401</v>
      </c>
      <c r="H221" s="86" t="s">
        <v>402</v>
      </c>
      <c r="I221" s="86" t="s">
        <v>403</v>
      </c>
      <c r="J221" s="86" t="s">
        <v>404</v>
      </c>
      <c r="K221" s="86" t="s">
        <v>405</v>
      </c>
      <c r="L221" s="86" t="s">
        <v>406</v>
      </c>
      <c r="M221" s="86" t="s">
        <v>407</v>
      </c>
      <c r="N221" s="86" t="s">
        <v>63</v>
      </c>
      <c r="O221" s="86" t="s">
        <v>408</v>
      </c>
    </row>
    <row r="222" spans="2:15" s="85" customFormat="1">
      <c r="B222" s="85" t="s">
        <v>409</v>
      </c>
      <c r="C222" s="87">
        <v>0.16300000000000001</v>
      </c>
      <c r="D222" s="87">
        <v>0.16</v>
      </c>
      <c r="E222" s="87">
        <v>0.153</v>
      </c>
      <c r="F222" s="87">
        <v>0.14299999999999999</v>
      </c>
      <c r="G222" s="87">
        <v>0.13200000000000001</v>
      </c>
      <c r="H222" s="87">
        <v>0.12</v>
      </c>
      <c r="I222" s="87">
        <v>0.111</v>
      </c>
      <c r="J222" s="87">
        <v>0.112</v>
      </c>
      <c r="K222" s="87">
        <v>0.122</v>
      </c>
      <c r="L222" s="87">
        <v>0.13600000000000001</v>
      </c>
      <c r="M222" s="87">
        <v>0.151</v>
      </c>
      <c r="N222" s="87">
        <v>0.16300000000000001</v>
      </c>
    </row>
    <row r="223" spans="2:15" s="85" customFormat="1">
      <c r="B223" s="85" t="s">
        <v>410</v>
      </c>
      <c r="C223" s="88">
        <v>300.56299999999999</v>
      </c>
      <c r="D223" s="88">
        <v>282.35000000000002</v>
      </c>
      <c r="E223" s="88">
        <v>178.49700000000001</v>
      </c>
      <c r="F223" s="88">
        <v>47.338999999999999</v>
      </c>
      <c r="G223" s="88">
        <v>17.234000000000002</v>
      </c>
      <c r="H223" s="88">
        <v>2.4809999999999999</v>
      </c>
      <c r="I223" s="88">
        <v>2.7890000000000001</v>
      </c>
      <c r="J223" s="88">
        <v>0</v>
      </c>
      <c r="K223" s="88">
        <v>11.429</v>
      </c>
      <c r="L223" s="88">
        <v>113.85899999999999</v>
      </c>
      <c r="M223" s="88">
        <v>206.26900000000001</v>
      </c>
      <c r="N223" s="88">
        <v>262.29599999999999</v>
      </c>
      <c r="O223" s="88">
        <f>SUM(C223:N223)</f>
        <v>1425.106</v>
      </c>
    </row>
    <row r="224" spans="2:15" s="85" customFormat="1">
      <c r="B224" s="85" t="s">
        <v>411</v>
      </c>
      <c r="C224" s="89">
        <f t="shared" ref="C224:O224" si="46">C223/$O$223</f>
        <v>0.21090571508364991</v>
      </c>
      <c r="D224" s="89">
        <f t="shared" si="46"/>
        <v>0.1981256131122878</v>
      </c>
      <c r="E224" s="89">
        <f t="shared" si="46"/>
        <v>0.12525173566036493</v>
      </c>
      <c r="F224" s="89">
        <f t="shared" si="46"/>
        <v>3.3217879933141813E-2</v>
      </c>
      <c r="G224" s="89">
        <f t="shared" si="46"/>
        <v>1.2093135528164222E-2</v>
      </c>
      <c r="H224" s="89">
        <f t="shared" si="46"/>
        <v>1.7409231313319851E-3</v>
      </c>
      <c r="I224" s="89">
        <f t="shared" si="46"/>
        <v>1.957047405596496E-3</v>
      </c>
      <c r="J224" s="89">
        <f t="shared" si="46"/>
        <v>0</v>
      </c>
      <c r="K224" s="89">
        <f t="shared" si="46"/>
        <v>8.0197543200295276E-3</v>
      </c>
      <c r="L224" s="89">
        <f t="shared" si="46"/>
        <v>7.9895109556762794E-2</v>
      </c>
      <c r="M224" s="89">
        <f t="shared" si="46"/>
        <v>0.14473940885800776</v>
      </c>
      <c r="N224" s="89">
        <f t="shared" si="46"/>
        <v>0.18405367741066278</v>
      </c>
      <c r="O224" s="89">
        <f t="shared" si="46"/>
        <v>1</v>
      </c>
    </row>
    <row r="225" spans="2:15" s="85" customFormat="1">
      <c r="B225" s="85" t="s">
        <v>412</v>
      </c>
      <c r="C225" s="89">
        <f t="shared" ref="C225:N225" si="47">C222/$C$231</f>
        <v>1.0467883297453919</v>
      </c>
      <c r="D225" s="89">
        <f t="shared" si="47"/>
        <v>1.0275222868666423</v>
      </c>
      <c r="E225" s="89">
        <f t="shared" si="47"/>
        <v>0.98256818681622671</v>
      </c>
      <c r="F225" s="89">
        <f t="shared" si="47"/>
        <v>0.91834804388706148</v>
      </c>
      <c r="G225" s="89">
        <f t="shared" si="47"/>
        <v>0.84770588666497992</v>
      </c>
      <c r="H225" s="89">
        <f t="shared" si="47"/>
        <v>0.7706417151499817</v>
      </c>
      <c r="I225" s="89">
        <f t="shared" si="47"/>
        <v>0.71284358651373314</v>
      </c>
      <c r="J225" s="89">
        <f t="shared" si="47"/>
        <v>0.71926560080664959</v>
      </c>
      <c r="K225" s="89">
        <f t="shared" si="47"/>
        <v>0.7834857437358147</v>
      </c>
      <c r="L225" s="89">
        <f t="shared" si="47"/>
        <v>0.87339394383664604</v>
      </c>
      <c r="M225" s="89">
        <f t="shared" si="47"/>
        <v>0.9697241582303936</v>
      </c>
      <c r="N225" s="89">
        <f t="shared" si="47"/>
        <v>1.0467883297453919</v>
      </c>
      <c r="O225" s="89"/>
    </row>
    <row r="226" spans="2:15" s="85" customFormat="1">
      <c r="B226" s="85" t="s">
        <v>418</v>
      </c>
      <c r="C226" s="87">
        <v>0.19600000000000001</v>
      </c>
      <c r="D226" s="87">
        <v>0.19</v>
      </c>
      <c r="E226" s="87">
        <v>0.17499999999999999</v>
      </c>
      <c r="F226" s="87">
        <v>0.153</v>
      </c>
      <c r="G226" s="87">
        <v>0.129</v>
      </c>
      <c r="H226" s="87">
        <v>0.106</v>
      </c>
      <c r="I226" s="87">
        <v>9.1999999999999998E-2</v>
      </c>
      <c r="J226" s="87">
        <v>9.2999999999999999E-2</v>
      </c>
      <c r="K226" s="87">
        <v>0.11</v>
      </c>
      <c r="L226" s="87">
        <v>0.13800000000000001</v>
      </c>
      <c r="M226" s="87">
        <v>0.16900000000000001</v>
      </c>
      <c r="N226" s="87">
        <v>0.19700000000000001</v>
      </c>
      <c r="O226" s="89"/>
    </row>
    <row r="227" spans="2:15" s="85" customFormat="1">
      <c r="B227" s="85" t="s">
        <v>413</v>
      </c>
      <c r="C227" s="90">
        <v>659</v>
      </c>
      <c r="D227" s="90">
        <v>636</v>
      </c>
      <c r="E227" s="90">
        <v>484</v>
      </c>
      <c r="F227" s="90">
        <v>306</v>
      </c>
      <c r="G227" s="90">
        <v>210</v>
      </c>
      <c r="H227" s="90">
        <v>122</v>
      </c>
      <c r="I227" s="90">
        <v>475</v>
      </c>
      <c r="J227" s="90">
        <v>308</v>
      </c>
      <c r="K227" s="90">
        <v>404.74299999999999</v>
      </c>
      <c r="L227" s="90">
        <v>422.78100000000001</v>
      </c>
      <c r="M227" s="90">
        <v>608.61900000000003</v>
      </c>
      <c r="N227" s="90">
        <v>593.11400000000003</v>
      </c>
      <c r="O227" s="88">
        <f>SUM(C227:N227)</f>
        <v>5229.2569999999996</v>
      </c>
    </row>
    <row r="228" spans="2:15" s="85" customFormat="1">
      <c r="B228" s="85" t="s">
        <v>411</v>
      </c>
      <c r="C228" s="89">
        <f t="shared" ref="C228:O228" si="48">C227/$O$227</f>
        <v>0.12602172736968179</v>
      </c>
      <c r="D228" s="89">
        <f t="shared" si="48"/>
        <v>0.12162339697589926</v>
      </c>
      <c r="E228" s="89">
        <f t="shared" si="48"/>
        <v>9.2556170025684351E-2</v>
      </c>
      <c r="F228" s="89">
        <f t="shared" si="48"/>
        <v>5.8516917412932662E-2</v>
      </c>
      <c r="G228" s="89">
        <f t="shared" si="48"/>
        <v>4.0158668812796929E-2</v>
      </c>
      <c r="H228" s="89">
        <f t="shared" si="48"/>
        <v>2.33302742626725E-2</v>
      </c>
      <c r="I228" s="89">
        <f t="shared" si="48"/>
        <v>9.0835084219421616E-2</v>
      </c>
      <c r="J228" s="89">
        <f t="shared" si="48"/>
        <v>5.8899380925435493E-2</v>
      </c>
      <c r="K228" s="89">
        <f t="shared" si="48"/>
        <v>7.7399714720466029E-2</v>
      </c>
      <c r="L228" s="89">
        <f t="shared" si="48"/>
        <v>8.0849153139729041E-2</v>
      </c>
      <c r="M228" s="89">
        <f t="shared" si="48"/>
        <v>0.1163872802579793</v>
      </c>
      <c r="N228" s="89">
        <f t="shared" si="48"/>
        <v>0.11342223187730113</v>
      </c>
      <c r="O228" s="89">
        <f t="shared" si="48"/>
        <v>1</v>
      </c>
    </row>
    <row r="229" spans="2:15" s="85" customFormat="1">
      <c r="B229" s="85" t="s">
        <v>412</v>
      </c>
      <c r="C229" s="89">
        <f t="shared" ref="C229:N229" si="49">C226/$C$232</f>
        <v>1.3455377574370708</v>
      </c>
      <c r="D229" s="89">
        <f t="shared" si="49"/>
        <v>1.3043478260869563</v>
      </c>
      <c r="E229" s="89">
        <f t="shared" si="49"/>
        <v>1.2013729977116703</v>
      </c>
      <c r="F229" s="89">
        <f t="shared" si="49"/>
        <v>1.0503432494279175</v>
      </c>
      <c r="G229" s="89">
        <f t="shared" si="49"/>
        <v>0.88558352402745977</v>
      </c>
      <c r="H229" s="89">
        <f t="shared" si="49"/>
        <v>0.72768878718535457</v>
      </c>
      <c r="I229" s="89">
        <f t="shared" si="49"/>
        <v>0.63157894736842091</v>
      </c>
      <c r="J229" s="89">
        <f t="shared" si="49"/>
        <v>0.63844393592677329</v>
      </c>
      <c r="K229" s="89">
        <f t="shared" si="49"/>
        <v>0.7551487414187642</v>
      </c>
      <c r="L229" s="89">
        <f t="shared" si="49"/>
        <v>0.94736842105263153</v>
      </c>
      <c r="M229" s="89">
        <f t="shared" si="49"/>
        <v>1.160183066361556</v>
      </c>
      <c r="N229" s="89">
        <f t="shared" si="49"/>
        <v>1.3524027459954231</v>
      </c>
      <c r="O229" s="89"/>
    </row>
    <row r="230" spans="2:15" s="85" customFormat="1">
      <c r="D230" s="87"/>
      <c r="E230" s="87"/>
      <c r="F230" s="87"/>
      <c r="G230" s="87"/>
      <c r="H230" s="87"/>
      <c r="I230" s="87"/>
      <c r="J230" s="87"/>
      <c r="K230" s="87"/>
      <c r="L230" s="87"/>
      <c r="M230" s="87"/>
      <c r="N230" s="87"/>
      <c r="O230" s="87"/>
    </row>
    <row r="231" spans="2:15" s="85" customFormat="1">
      <c r="B231" s="85" t="s">
        <v>414</v>
      </c>
      <c r="C231" s="91">
        <f>SUMPRODUCT(C224:N224,C222:N222)</f>
        <v>0.15571438405283536</v>
      </c>
      <c r="D231" s="92" t="s">
        <v>417</v>
      </c>
      <c r="E231" s="87"/>
      <c r="F231" s="87"/>
      <c r="G231" s="87"/>
      <c r="H231" s="87"/>
      <c r="I231" s="87"/>
      <c r="J231" s="87"/>
      <c r="K231" s="87"/>
      <c r="L231" s="87"/>
      <c r="M231" s="87"/>
      <c r="N231" s="87"/>
      <c r="O231" s="87"/>
    </row>
    <row r="232" spans="2:15" s="85" customFormat="1">
      <c r="B232" s="85" t="s">
        <v>415</v>
      </c>
      <c r="C232" s="91">
        <f>AVERAGE(C226:N226)</f>
        <v>0.14566666666666669</v>
      </c>
      <c r="D232" s="92" t="s">
        <v>416</v>
      </c>
      <c r="E232" s="87"/>
      <c r="F232" s="87"/>
      <c r="G232" s="87"/>
      <c r="H232" s="87"/>
      <c r="I232" s="87"/>
      <c r="J232" s="87"/>
      <c r="K232" s="87"/>
      <c r="L232" s="87"/>
      <c r="M232" s="87"/>
      <c r="N232" s="87"/>
      <c r="O232" s="87"/>
    </row>
    <row r="233" spans="2:15" s="85" customFormat="1">
      <c r="C233" s="87"/>
      <c r="D233" s="87"/>
      <c r="E233" s="87"/>
      <c r="F233" s="87"/>
      <c r="G233" s="87"/>
      <c r="H233" s="87"/>
      <c r="I233" s="87"/>
      <c r="J233" s="87"/>
      <c r="K233" s="87"/>
      <c r="L233" s="87"/>
      <c r="M233" s="87"/>
      <c r="N233" s="87"/>
      <c r="O233" s="87"/>
    </row>
    <row r="234" spans="2:15" s="85" customFormat="1">
      <c r="B234" s="83" t="s">
        <v>526</v>
      </c>
      <c r="C234" s="84"/>
      <c r="D234" s="84"/>
      <c r="E234" s="84"/>
      <c r="F234" s="84"/>
      <c r="G234" s="84"/>
      <c r="H234" s="84"/>
      <c r="I234" s="84"/>
      <c r="J234" s="84"/>
      <c r="K234" s="84"/>
      <c r="L234" s="84"/>
      <c r="M234" s="84"/>
      <c r="N234" s="84"/>
      <c r="O234" s="84"/>
    </row>
    <row r="235" spans="2:15" s="85" customFormat="1">
      <c r="B235" s="84" t="s">
        <v>396</v>
      </c>
      <c r="C235" s="86" t="s">
        <v>397</v>
      </c>
      <c r="D235" s="86" t="s">
        <v>398</v>
      </c>
      <c r="E235" s="86" t="s">
        <v>399</v>
      </c>
      <c r="F235" s="86" t="s">
        <v>400</v>
      </c>
      <c r="G235" s="86" t="s">
        <v>401</v>
      </c>
      <c r="H235" s="86" t="s">
        <v>402</v>
      </c>
      <c r="I235" s="86" t="s">
        <v>403</v>
      </c>
      <c r="J235" s="86" t="s">
        <v>404</v>
      </c>
      <c r="K235" s="86" t="s">
        <v>405</v>
      </c>
      <c r="L235" s="86" t="s">
        <v>406</v>
      </c>
      <c r="M235" s="86" t="s">
        <v>407</v>
      </c>
      <c r="N235" s="86" t="s">
        <v>63</v>
      </c>
      <c r="O235" s="86" t="s">
        <v>408</v>
      </c>
    </row>
    <row r="236" spans="2:15" s="85" customFormat="1">
      <c r="B236" s="85" t="s">
        <v>520</v>
      </c>
      <c r="C236" s="87">
        <v>1.6020000000000001</v>
      </c>
      <c r="D236" s="87">
        <v>1.593</v>
      </c>
      <c r="E236" s="87">
        <v>1.5680000000000001</v>
      </c>
      <c r="F236" s="87">
        <v>1.53</v>
      </c>
      <c r="G236" s="87">
        <v>1.4870000000000001</v>
      </c>
      <c r="H236" s="87">
        <v>1.4410000000000001</v>
      </c>
      <c r="I236" s="87">
        <v>1.41</v>
      </c>
      <c r="J236" s="87">
        <v>1.413</v>
      </c>
      <c r="K236" s="87">
        <v>1.4490000000000001</v>
      </c>
      <c r="L236" s="87">
        <v>1.504</v>
      </c>
      <c r="M236" s="87">
        <v>1.5580000000000001</v>
      </c>
      <c r="N236" s="87">
        <v>1.6040000000000001</v>
      </c>
    </row>
    <row r="237" spans="2:15" s="85" customFormat="1">
      <c r="B237" s="85" t="s">
        <v>410</v>
      </c>
      <c r="C237" s="88">
        <v>300.56299999999999</v>
      </c>
      <c r="D237" s="88">
        <v>282.35000000000002</v>
      </c>
      <c r="E237" s="88">
        <v>178.49700000000001</v>
      </c>
      <c r="F237" s="88">
        <v>47.338999999999999</v>
      </c>
      <c r="G237" s="88">
        <v>17.234000000000002</v>
      </c>
      <c r="H237" s="88">
        <v>2.4809999999999999</v>
      </c>
      <c r="I237" s="88">
        <v>2.7890000000000001</v>
      </c>
      <c r="J237" s="88">
        <v>0</v>
      </c>
      <c r="K237" s="88">
        <v>11.429</v>
      </c>
      <c r="L237" s="88">
        <v>113.85899999999999</v>
      </c>
      <c r="M237" s="88">
        <v>206.26900000000001</v>
      </c>
      <c r="N237" s="88">
        <v>262.29599999999999</v>
      </c>
      <c r="O237" s="88">
        <f>SUM(C237:N237)</f>
        <v>1425.106</v>
      </c>
    </row>
    <row r="238" spans="2:15" s="85" customFormat="1">
      <c r="B238" s="85" t="s">
        <v>411</v>
      </c>
      <c r="C238" s="89">
        <f t="shared" ref="C238:N238" si="50">C237/$O$237</f>
        <v>0.21090571508364991</v>
      </c>
      <c r="D238" s="89">
        <f t="shared" si="50"/>
        <v>0.1981256131122878</v>
      </c>
      <c r="E238" s="89">
        <f t="shared" si="50"/>
        <v>0.12525173566036493</v>
      </c>
      <c r="F238" s="89">
        <f t="shared" si="50"/>
        <v>3.3217879933141813E-2</v>
      </c>
      <c r="G238" s="89">
        <f t="shared" si="50"/>
        <v>1.2093135528164222E-2</v>
      </c>
      <c r="H238" s="89">
        <f t="shared" si="50"/>
        <v>1.7409231313319851E-3</v>
      </c>
      <c r="I238" s="89">
        <f t="shared" si="50"/>
        <v>1.957047405596496E-3</v>
      </c>
      <c r="J238" s="89">
        <f t="shared" si="50"/>
        <v>0</v>
      </c>
      <c r="K238" s="89">
        <f t="shared" si="50"/>
        <v>8.0197543200295276E-3</v>
      </c>
      <c r="L238" s="89">
        <f t="shared" si="50"/>
        <v>7.9895109556762794E-2</v>
      </c>
      <c r="M238" s="89">
        <f t="shared" si="50"/>
        <v>0.14473940885800776</v>
      </c>
      <c r="N238" s="89">
        <f t="shared" si="50"/>
        <v>0.18405367741066278</v>
      </c>
      <c r="O238" s="89">
        <f>O237/$O$223</f>
        <v>1</v>
      </c>
    </row>
    <row r="239" spans="2:15" s="85" customFormat="1">
      <c r="B239" s="85" t="s">
        <v>412</v>
      </c>
      <c r="C239" s="89">
        <f t="shared" ref="C239:N239" si="51">C236/$C$245</f>
        <v>1.0161991139805211</v>
      </c>
      <c r="D239" s="89">
        <f t="shared" si="51"/>
        <v>1.0104901301941136</v>
      </c>
      <c r="E239" s="89">
        <f t="shared" si="51"/>
        <v>0.99463184189853748</v>
      </c>
      <c r="F239" s="89">
        <f t="shared" si="51"/>
        <v>0.97052724368926158</v>
      </c>
      <c r="G239" s="89">
        <f t="shared" si="51"/>
        <v>0.94325098782087069</v>
      </c>
      <c r="H239" s="89">
        <f t="shared" si="51"/>
        <v>0.91407173735701053</v>
      </c>
      <c r="I239" s="89">
        <f t="shared" si="51"/>
        <v>0.89440745987049597</v>
      </c>
      <c r="J239" s="89">
        <f t="shared" si="51"/>
        <v>0.89631045446596513</v>
      </c>
      <c r="K239" s="89">
        <f t="shared" si="51"/>
        <v>0.91914638961159489</v>
      </c>
      <c r="L239" s="89">
        <f t="shared" si="51"/>
        <v>0.95403462386186244</v>
      </c>
      <c r="M239" s="89">
        <f t="shared" si="51"/>
        <v>0.98828852658030697</v>
      </c>
      <c r="N239" s="89">
        <f t="shared" si="51"/>
        <v>1.0174677770441671</v>
      </c>
      <c r="O239" s="89"/>
    </row>
    <row r="240" spans="2:15" s="85" customFormat="1">
      <c r="B240" s="85" t="s">
        <v>521</v>
      </c>
      <c r="C240" s="87">
        <v>1.7150000000000001</v>
      </c>
      <c r="D240" s="87">
        <v>1.6970000000000001</v>
      </c>
      <c r="E240" s="87">
        <v>1.645</v>
      </c>
      <c r="F240" s="87">
        <v>1.5669999999999999</v>
      </c>
      <c r="G240" s="87">
        <v>1.478</v>
      </c>
      <c r="H240" s="87">
        <v>1.389</v>
      </c>
      <c r="I240" s="87">
        <v>1.33</v>
      </c>
      <c r="J240" s="87">
        <v>1.3360000000000001</v>
      </c>
      <c r="K240" s="87">
        <v>1.405</v>
      </c>
      <c r="L240" s="87">
        <v>1.5129999999999999</v>
      </c>
      <c r="M240" s="87">
        <v>1.623</v>
      </c>
      <c r="N240" s="87">
        <v>1.718</v>
      </c>
      <c r="O240" s="89"/>
    </row>
    <row r="241" spans="2:15" s="85" customFormat="1">
      <c r="B241" s="85" t="s">
        <v>413</v>
      </c>
      <c r="C241" s="90">
        <v>659</v>
      </c>
      <c r="D241" s="90">
        <v>636</v>
      </c>
      <c r="E241" s="90">
        <v>484</v>
      </c>
      <c r="F241" s="90">
        <v>306</v>
      </c>
      <c r="G241" s="90">
        <v>210</v>
      </c>
      <c r="H241" s="90">
        <v>122</v>
      </c>
      <c r="I241" s="90">
        <v>475</v>
      </c>
      <c r="J241" s="90">
        <v>308</v>
      </c>
      <c r="K241" s="90">
        <v>404.74299999999999</v>
      </c>
      <c r="L241" s="90">
        <v>422.78100000000001</v>
      </c>
      <c r="M241" s="90">
        <v>608.61900000000003</v>
      </c>
      <c r="N241" s="90">
        <v>593.11400000000003</v>
      </c>
      <c r="O241" s="88">
        <f>SUM(C241:N241)</f>
        <v>5229.2569999999996</v>
      </c>
    </row>
    <row r="242" spans="2:15" s="85" customFormat="1">
      <c r="B242" s="85" t="s">
        <v>411</v>
      </c>
      <c r="C242" s="89">
        <f t="shared" ref="C242:O242" si="52">C241/$O$241</f>
        <v>0.12602172736968179</v>
      </c>
      <c r="D242" s="89">
        <f t="shared" si="52"/>
        <v>0.12162339697589926</v>
      </c>
      <c r="E242" s="89">
        <f t="shared" si="52"/>
        <v>9.2556170025684351E-2</v>
      </c>
      <c r="F242" s="89">
        <f t="shared" si="52"/>
        <v>5.8516917412932662E-2</v>
      </c>
      <c r="G242" s="89">
        <f t="shared" si="52"/>
        <v>4.0158668812796929E-2</v>
      </c>
      <c r="H242" s="89">
        <f t="shared" si="52"/>
        <v>2.33302742626725E-2</v>
      </c>
      <c r="I242" s="89">
        <f t="shared" si="52"/>
        <v>9.0835084219421616E-2</v>
      </c>
      <c r="J242" s="89">
        <f t="shared" si="52"/>
        <v>5.8899380925435493E-2</v>
      </c>
      <c r="K242" s="89">
        <f t="shared" si="52"/>
        <v>7.7399714720466029E-2</v>
      </c>
      <c r="L242" s="89">
        <f t="shared" si="52"/>
        <v>8.0849153139729041E-2</v>
      </c>
      <c r="M242" s="89">
        <f t="shared" si="52"/>
        <v>0.1163872802579793</v>
      </c>
      <c r="N242" s="89">
        <f t="shared" si="52"/>
        <v>0.11342223187730113</v>
      </c>
      <c r="O242" s="89">
        <f t="shared" si="52"/>
        <v>1</v>
      </c>
    </row>
    <row r="243" spans="2:15" s="85" customFormat="1">
      <c r="B243" s="85" t="s">
        <v>412</v>
      </c>
      <c r="C243" s="89">
        <f t="shared" ref="C243:N243" si="53">C240/$C$246</f>
        <v>1.11750651607298</v>
      </c>
      <c r="D243" s="89">
        <f t="shared" si="53"/>
        <v>1.1057775847089488</v>
      </c>
      <c r="E243" s="89">
        <f t="shared" si="53"/>
        <v>1.0718940052128585</v>
      </c>
      <c r="F243" s="89">
        <f t="shared" si="53"/>
        <v>1.0210686359687229</v>
      </c>
      <c r="G243" s="89">
        <f t="shared" si="53"/>
        <v>0.96307558644656821</v>
      </c>
      <c r="H243" s="89">
        <f t="shared" si="53"/>
        <v>0.90508253692441354</v>
      </c>
      <c r="I243" s="89">
        <f t="shared" si="53"/>
        <v>0.86663770634231108</v>
      </c>
      <c r="J243" s="89">
        <f t="shared" si="53"/>
        <v>0.87054735013032158</v>
      </c>
      <c r="K243" s="89">
        <f t="shared" si="53"/>
        <v>0.91550825369244138</v>
      </c>
      <c r="L243" s="89">
        <f t="shared" si="53"/>
        <v>0.98588184187662897</v>
      </c>
      <c r="M243" s="89">
        <f t="shared" si="53"/>
        <v>1.0575586446568201</v>
      </c>
      <c r="N243" s="89">
        <f t="shared" si="53"/>
        <v>1.1194613379669853</v>
      </c>
      <c r="O243" s="89"/>
    </row>
    <row r="244" spans="2:15" s="85" customFormat="1">
      <c r="D244" s="87"/>
      <c r="E244" s="87"/>
      <c r="F244" s="87"/>
      <c r="G244" s="87"/>
      <c r="H244" s="87"/>
      <c r="I244" s="87"/>
      <c r="J244" s="87"/>
      <c r="K244" s="87"/>
      <c r="L244" s="87"/>
      <c r="M244" s="87"/>
      <c r="N244" s="87"/>
      <c r="O244" s="87"/>
    </row>
    <row r="245" spans="2:15" s="85" customFormat="1">
      <c r="B245" s="85" t="s">
        <v>414</v>
      </c>
      <c r="C245" s="91">
        <f>SUMPRODUCT(C238:N238,C236:N236)</f>
        <v>1.5764627010201349</v>
      </c>
      <c r="D245" s="92" t="s">
        <v>417</v>
      </c>
      <c r="E245" s="87"/>
      <c r="F245" s="87"/>
      <c r="G245" s="87"/>
      <c r="H245" s="87"/>
      <c r="I245" s="87"/>
      <c r="J245" s="87"/>
      <c r="K245" s="87"/>
      <c r="L245" s="87"/>
      <c r="M245" s="87"/>
      <c r="N245" s="87"/>
      <c r="O245" s="87"/>
    </row>
    <row r="246" spans="2:15" s="85" customFormat="1">
      <c r="B246" s="85" t="s">
        <v>415</v>
      </c>
      <c r="C246" s="91">
        <f>AVERAGE(C240:N240)</f>
        <v>1.5346666666666666</v>
      </c>
      <c r="D246" s="92" t="s">
        <v>416</v>
      </c>
      <c r="E246" s="87"/>
      <c r="F246" s="87"/>
      <c r="G246" s="87"/>
      <c r="H246" s="87"/>
      <c r="I246" s="87"/>
      <c r="J246" s="87"/>
      <c r="K246" s="87"/>
      <c r="L246" s="87"/>
      <c r="M246" s="87"/>
      <c r="N246" s="87"/>
      <c r="O246" s="87"/>
    </row>
    <row r="247" spans="2:15">
      <c r="C247" s="64"/>
      <c r="D247" s="64"/>
      <c r="E247" s="64"/>
      <c r="F247" s="64"/>
      <c r="G247" s="64"/>
      <c r="H247" s="64"/>
      <c r="I247" s="64"/>
      <c r="J247" s="64"/>
      <c r="K247" s="64"/>
      <c r="L247" s="64"/>
      <c r="M247" s="64"/>
      <c r="N247" s="64"/>
      <c r="O247" s="64"/>
    </row>
  </sheetData>
  <hyperlinks>
    <hyperlink ref="E176" r:id="rId1"/>
  </hyperlinks>
  <pageMargins left="0.7" right="0.7" top="0.75" bottom="0.75" header="0.3" footer="0.3"/>
  <pageSetup paperSize="9" orientation="portrait" r:id="rId2"/>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H147"/>
  <sheetViews>
    <sheetView zoomScale="85" zoomScaleNormal="85" workbookViewId="0">
      <pane xSplit="2" ySplit="3" topLeftCell="C106" activePane="bottomRight" state="frozen"/>
      <selection activeCell="B3" sqref="B3"/>
      <selection pane="topRight" activeCell="B3" sqref="B3"/>
      <selection pane="bottomLeft" activeCell="B3" sqref="B3"/>
      <selection pane="bottomRight" activeCell="B3" sqref="B3"/>
    </sheetView>
  </sheetViews>
  <sheetFormatPr defaultRowHeight="14.4"/>
  <cols>
    <col min="1" max="1" width="7.21875" customWidth="1"/>
    <col min="2" max="2" width="44.77734375" customWidth="1"/>
    <col min="3" max="3" width="30.77734375" style="8" customWidth="1"/>
    <col min="4" max="19" width="12.21875" style="50" customWidth="1"/>
    <col min="20" max="20" width="12.21875" customWidth="1"/>
    <col min="22" max="22" width="28" style="11" customWidth="1"/>
    <col min="23" max="23" width="9.44140625" customWidth="1"/>
    <col min="41" max="41" width="37.77734375" customWidth="1"/>
  </cols>
  <sheetData>
    <row r="1" spans="2:58" ht="16.5" customHeight="1">
      <c r="C1" s="63" t="s">
        <v>381</v>
      </c>
      <c r="D1" s="52" t="s">
        <v>382</v>
      </c>
      <c r="E1" s="53" t="s">
        <v>383</v>
      </c>
      <c r="F1" s="54" t="s">
        <v>384</v>
      </c>
      <c r="G1" s="134" t="s">
        <v>678</v>
      </c>
      <c r="H1" s="55" t="s">
        <v>385</v>
      </c>
      <c r="X1" s="50"/>
      <c r="Y1" s="4"/>
    </row>
    <row r="2" spans="2:58">
      <c r="B2" s="1" t="s">
        <v>386</v>
      </c>
      <c r="D2" s="51" t="s">
        <v>618</v>
      </c>
      <c r="E2" s="51"/>
      <c r="T2" s="50"/>
      <c r="U2" s="51"/>
      <c r="V2" s="51" t="s">
        <v>522</v>
      </c>
    </row>
    <row r="3" spans="2:58" s="120" customFormat="1" ht="72">
      <c r="B3" s="115" t="s">
        <v>294</v>
      </c>
      <c r="C3" s="116" t="s">
        <v>336</v>
      </c>
      <c r="D3" s="117" t="s">
        <v>343</v>
      </c>
      <c r="E3" s="117" t="s">
        <v>721</v>
      </c>
      <c r="F3" s="117" t="s">
        <v>721</v>
      </c>
      <c r="G3" s="117" t="s">
        <v>600</v>
      </c>
      <c r="H3" s="117" t="s">
        <v>600</v>
      </c>
      <c r="I3" s="117" t="s">
        <v>600</v>
      </c>
      <c r="J3" s="117" t="s">
        <v>600</v>
      </c>
      <c r="K3" s="117" t="s">
        <v>601</v>
      </c>
      <c r="L3" s="117" t="s">
        <v>601</v>
      </c>
      <c r="M3" s="117" t="s">
        <v>602</v>
      </c>
      <c r="N3" s="117" t="s">
        <v>602</v>
      </c>
      <c r="O3" s="117" t="s">
        <v>603</v>
      </c>
      <c r="P3" s="117" t="s">
        <v>603</v>
      </c>
      <c r="Q3" s="117" t="s">
        <v>604</v>
      </c>
      <c r="R3" s="117" t="s">
        <v>604</v>
      </c>
      <c r="S3" s="117" t="s">
        <v>351</v>
      </c>
      <c r="T3" s="117" t="s">
        <v>791</v>
      </c>
      <c r="U3" s="119"/>
      <c r="V3" s="139" t="s">
        <v>16</v>
      </c>
      <c r="W3" s="117" t="s">
        <v>343</v>
      </c>
      <c r="X3" s="117" t="s">
        <v>435</v>
      </c>
      <c r="Y3" s="117" t="s">
        <v>436</v>
      </c>
      <c r="Z3" s="117" t="s">
        <v>437</v>
      </c>
      <c r="AA3" s="117" t="s">
        <v>438</v>
      </c>
      <c r="AB3" s="117" t="s">
        <v>439</v>
      </c>
      <c r="AC3" s="117" t="s">
        <v>440</v>
      </c>
      <c r="AD3" s="117" t="s">
        <v>441</v>
      </c>
      <c r="AE3" s="117" t="s">
        <v>442</v>
      </c>
      <c r="AF3" s="117" t="s">
        <v>443</v>
      </c>
      <c r="AG3" s="117" t="s">
        <v>444</v>
      </c>
      <c r="AH3" s="117" t="s">
        <v>445</v>
      </c>
      <c r="AI3" s="117" t="s">
        <v>446</v>
      </c>
      <c r="AJ3" s="117" t="s">
        <v>447</v>
      </c>
      <c r="AK3" s="117" t="s">
        <v>677</v>
      </c>
      <c r="AL3" s="117" t="s">
        <v>351</v>
      </c>
      <c r="AM3" s="117" t="s">
        <v>791</v>
      </c>
      <c r="AO3" s="139" t="s">
        <v>695</v>
      </c>
      <c r="AP3" s="117" t="s">
        <v>343</v>
      </c>
      <c r="AQ3" s="117" t="s">
        <v>435</v>
      </c>
      <c r="AR3" s="117" t="s">
        <v>436</v>
      </c>
      <c r="AS3" s="117" t="s">
        <v>437</v>
      </c>
      <c r="AT3" s="117" t="s">
        <v>438</v>
      </c>
      <c r="AU3" s="117" t="s">
        <v>439</v>
      </c>
      <c r="AV3" s="117" t="s">
        <v>440</v>
      </c>
      <c r="AW3" s="117" t="s">
        <v>441</v>
      </c>
      <c r="AX3" s="117" t="s">
        <v>442</v>
      </c>
      <c r="AY3" s="117" t="s">
        <v>443</v>
      </c>
      <c r="AZ3" s="117" t="s">
        <v>444</v>
      </c>
      <c r="BA3" s="117" t="s">
        <v>445</v>
      </c>
      <c r="BB3" s="117" t="s">
        <v>446</v>
      </c>
      <c r="BC3" s="117" t="s">
        <v>447</v>
      </c>
      <c r="BD3" s="117" t="s">
        <v>677</v>
      </c>
      <c r="BE3" s="117" t="s">
        <v>351</v>
      </c>
      <c r="BF3" s="117" t="s">
        <v>791</v>
      </c>
    </row>
    <row r="4" spans="2:58">
      <c r="C4" s="60" t="s">
        <v>345</v>
      </c>
      <c r="D4" s="52" t="s">
        <v>29</v>
      </c>
      <c r="E4" s="54" t="s">
        <v>29</v>
      </c>
      <c r="F4" s="54" t="s">
        <v>20</v>
      </c>
      <c r="G4" s="54" t="s">
        <v>29</v>
      </c>
      <c r="H4" s="54" t="s">
        <v>20</v>
      </c>
      <c r="I4" s="54" t="s">
        <v>29</v>
      </c>
      <c r="J4" s="54" t="s">
        <v>20</v>
      </c>
      <c r="K4" s="54" t="s">
        <v>29</v>
      </c>
      <c r="L4" s="54" t="s">
        <v>20</v>
      </c>
      <c r="M4" s="54" t="s">
        <v>29</v>
      </c>
      <c r="N4" s="54" t="s">
        <v>20</v>
      </c>
      <c r="O4" s="54" t="s">
        <v>29</v>
      </c>
      <c r="P4" s="54" t="s">
        <v>20</v>
      </c>
      <c r="Q4" s="54" t="s">
        <v>29</v>
      </c>
      <c r="R4" s="54" t="s">
        <v>20</v>
      </c>
      <c r="S4" s="52" t="s">
        <v>20</v>
      </c>
      <c r="T4" s="134" t="str">
        <f>INPUT!C34</f>
        <v>ASHP</v>
      </c>
      <c r="U4" s="50"/>
      <c r="V4" s="11" t="s">
        <v>699</v>
      </c>
      <c r="W4" s="50">
        <f>IF(D4="Gas",'C&amp;B'!$E$245,'C&amp;B'!$E$255)</f>
        <v>2338</v>
      </c>
      <c r="X4" s="50">
        <f>IF(E4="Gas",'C&amp;B'!$E$245,'C&amp;B'!$E$255)</f>
        <v>2338</v>
      </c>
      <c r="Y4" s="50">
        <f>IF(F4="Gas",'C&amp;B'!$E$245,'C&amp;B'!$E$255)</f>
        <v>3794</v>
      </c>
      <c r="Z4" s="50">
        <f>IF(G4="Gas",'C&amp;B'!$E$245,'C&amp;B'!$E$255)</f>
        <v>2338</v>
      </c>
      <c r="AA4" s="50">
        <f>IF(H4="Gas",'C&amp;B'!$E$245,'C&amp;B'!$E$255)</f>
        <v>3794</v>
      </c>
      <c r="AB4" s="50">
        <f>IF(I4="Gas",'C&amp;B'!$E$245,'C&amp;B'!$E$255)</f>
        <v>2338</v>
      </c>
      <c r="AC4" s="50">
        <f>IF(J4="Gas",'C&amp;B'!$E$245,'C&amp;B'!$E$255)</f>
        <v>3794</v>
      </c>
      <c r="AD4" s="50">
        <f>IF(K4="Gas",'C&amp;B'!$E$245,'C&amp;B'!$E$255)</f>
        <v>2338</v>
      </c>
      <c r="AE4" s="50">
        <f>IF(L4="Gas",'C&amp;B'!$E$245,'C&amp;B'!$E$255)</f>
        <v>3794</v>
      </c>
      <c r="AF4" s="50">
        <f>IF(M4="Gas",'C&amp;B'!$E$245,'C&amp;B'!$E$255)</f>
        <v>2338</v>
      </c>
      <c r="AG4" s="50">
        <f>IF(N4="Gas",'C&amp;B'!$E$245,'C&amp;B'!$E$255)</f>
        <v>3794</v>
      </c>
      <c r="AH4" s="50">
        <f>IF(O4="Gas",'C&amp;B'!$E$245,'C&amp;B'!$E$255)</f>
        <v>2338</v>
      </c>
      <c r="AI4" s="50">
        <f>IF(P4="Gas",'C&amp;B'!$E$245,'C&amp;B'!$E$255)</f>
        <v>3794</v>
      </c>
      <c r="AJ4" s="50">
        <f>IF(Q4="Gas",'C&amp;B'!$E$245,'C&amp;B'!$E$255)</f>
        <v>2338</v>
      </c>
      <c r="AK4" s="50">
        <f>IF(R4="Gas",'C&amp;B'!$E$245,'C&amp;B'!$E$255)</f>
        <v>3794</v>
      </c>
      <c r="AL4" s="50">
        <f>IF(S4="Gas",'C&amp;B'!$E$245,'C&amp;B'!$E$255)</f>
        <v>3794</v>
      </c>
      <c r="AM4" s="50">
        <f>IF(T4="Gas",'C&amp;B'!$E$245,'C&amp;B'!$E$255)</f>
        <v>3794</v>
      </c>
      <c r="AO4" s="128">
        <v>1</v>
      </c>
      <c r="AP4" s="14">
        <f t="shared" ref="AP4:AY5" si="0">$AO4*W4</f>
        <v>2338</v>
      </c>
      <c r="AQ4" s="14">
        <f t="shared" si="0"/>
        <v>2338</v>
      </c>
      <c r="AR4" s="14">
        <f t="shared" si="0"/>
        <v>3794</v>
      </c>
      <c r="AS4" s="14">
        <f t="shared" si="0"/>
        <v>2338</v>
      </c>
      <c r="AT4" s="14">
        <f t="shared" si="0"/>
        <v>3794</v>
      </c>
      <c r="AU4" s="14">
        <f t="shared" si="0"/>
        <v>2338</v>
      </c>
      <c r="AV4" s="14">
        <f t="shared" si="0"/>
        <v>3794</v>
      </c>
      <c r="AW4" s="14">
        <f t="shared" si="0"/>
        <v>2338</v>
      </c>
      <c r="AX4" s="14">
        <f t="shared" si="0"/>
        <v>3794</v>
      </c>
      <c r="AY4" s="14">
        <f t="shared" si="0"/>
        <v>2338</v>
      </c>
      <c r="AZ4" s="14">
        <f t="shared" ref="AZ4:BF5" si="1">$AO4*AG4</f>
        <v>3794</v>
      </c>
      <c r="BA4" s="14">
        <f t="shared" si="1"/>
        <v>2338</v>
      </c>
      <c r="BB4" s="14">
        <f t="shared" si="1"/>
        <v>3794</v>
      </c>
      <c r="BC4" s="14">
        <f t="shared" si="1"/>
        <v>2338</v>
      </c>
      <c r="BD4" s="14">
        <f t="shared" si="1"/>
        <v>3794</v>
      </c>
      <c r="BE4" s="14">
        <f t="shared" si="1"/>
        <v>3794</v>
      </c>
      <c r="BF4" s="14">
        <f t="shared" si="1"/>
        <v>3794</v>
      </c>
    </row>
    <row r="5" spans="2:58" s="4" customFormat="1">
      <c r="C5" s="129" t="s">
        <v>342</v>
      </c>
      <c r="D5" s="141" t="s">
        <v>688</v>
      </c>
      <c r="E5" s="140" t="s">
        <v>688</v>
      </c>
      <c r="F5" s="140" t="s">
        <v>688</v>
      </c>
      <c r="G5" s="140" t="s">
        <v>688</v>
      </c>
      <c r="H5" s="140" t="s">
        <v>688</v>
      </c>
      <c r="I5" s="140" t="s">
        <v>142</v>
      </c>
      <c r="J5" s="140" t="s">
        <v>142</v>
      </c>
      <c r="K5" s="140" t="s">
        <v>142</v>
      </c>
      <c r="L5" s="140" t="s">
        <v>142</v>
      </c>
      <c r="M5" s="140" t="s">
        <v>142</v>
      </c>
      <c r="N5" s="140" t="s">
        <v>142</v>
      </c>
      <c r="O5" s="140" t="s">
        <v>142</v>
      </c>
      <c r="P5" s="140" t="s">
        <v>142</v>
      </c>
      <c r="Q5" s="140" t="s">
        <v>142</v>
      </c>
      <c r="R5" s="140" t="s">
        <v>142</v>
      </c>
      <c r="S5" s="141" t="s">
        <v>688</v>
      </c>
      <c r="T5" s="142" t="str">
        <f>INPUT!C32</f>
        <v>Natural Ventilation</v>
      </c>
      <c r="U5" s="128"/>
      <c r="V5" s="11" t="s">
        <v>699</v>
      </c>
      <c r="W5" s="128">
        <f>IF(D5="Natural Ventilation",'C&amp;B'!$E$233,'C&amp;B'!$E$235+'C&amp;B'!$E$240)</f>
        <v>480</v>
      </c>
      <c r="X5" s="160">
        <f>IF(E5="Natural Ventilation",'C&amp;B'!$E$233,'C&amp;B'!$E$235+'C&amp;B'!$E$240)</f>
        <v>480</v>
      </c>
      <c r="Y5" s="160">
        <f>IF(F5="Natural Ventilation",'C&amp;B'!$E$233,'C&amp;B'!$E$235+'C&amp;B'!$E$240)</f>
        <v>480</v>
      </c>
      <c r="Z5" s="160">
        <f>IF(G5="Natural Ventilation",'C&amp;B'!$E$233,'C&amp;B'!$E$235+'C&amp;B'!$E$240)</f>
        <v>480</v>
      </c>
      <c r="AA5" s="160">
        <f>IF(H5="Natural Ventilation",'C&amp;B'!$E$233,'C&amp;B'!$E$235+'C&amp;B'!$E$240)</f>
        <v>480</v>
      </c>
      <c r="AB5" s="160">
        <f>IF(I5="Natural Ventilation",'C&amp;B'!$E$233,'C&amp;B'!$E$235+'C&amp;B'!$E$240)</f>
        <v>2360</v>
      </c>
      <c r="AC5" s="160">
        <f>IF(J5="Natural Ventilation",'C&amp;B'!$E$233,'C&amp;B'!$E$235+'C&amp;B'!$E$240)</f>
        <v>2360</v>
      </c>
      <c r="AD5" s="160">
        <f>IF(K5="Natural Ventilation",'C&amp;B'!$E$233,'C&amp;B'!$E$235+'C&amp;B'!$E$240)</f>
        <v>2360</v>
      </c>
      <c r="AE5" s="160">
        <f>IF(L5="Natural Ventilation",'C&amp;B'!$E$233,'C&amp;B'!$E$235+'C&amp;B'!$E$240)</f>
        <v>2360</v>
      </c>
      <c r="AF5" s="160">
        <f>IF(M5="Natural Ventilation",'C&amp;B'!$E$233,'C&amp;B'!$E$235+'C&amp;B'!$E$240)</f>
        <v>2360</v>
      </c>
      <c r="AG5" s="160">
        <f>IF(N5="Natural Ventilation",'C&amp;B'!$E$233,'C&amp;B'!$E$235+'C&amp;B'!$E$240)</f>
        <v>2360</v>
      </c>
      <c r="AH5" s="160">
        <f>IF(O5="Natural Ventilation",'C&amp;B'!$E$233,'C&amp;B'!$E$235+'C&amp;B'!$E$240)</f>
        <v>2360</v>
      </c>
      <c r="AI5" s="160">
        <f>IF(P5="Natural Ventilation",'C&amp;B'!$E$233,'C&amp;B'!$E$235+'C&amp;B'!$E$240)</f>
        <v>2360</v>
      </c>
      <c r="AJ5" s="160">
        <f>IF(Q5="Natural Ventilation",'C&amp;B'!$E$233,'C&amp;B'!$E$235+'C&amp;B'!$E$240)</f>
        <v>2360</v>
      </c>
      <c r="AK5" s="160">
        <f>IF(R5="Natural Ventilation",'C&amp;B'!$E$233,'C&amp;B'!$E$235+'C&amp;B'!$E$240)</f>
        <v>2360</v>
      </c>
      <c r="AL5" s="160">
        <f>IF(S5="Natural Ventilation",'C&amp;B'!$E$233,'C&amp;B'!$E$235+'C&amp;B'!$E$240)</f>
        <v>480</v>
      </c>
      <c r="AM5" s="160">
        <f>IF(T5="Natural Ventilation",'C&amp;B'!$E$233,'C&amp;B'!$E$235+'C&amp;B'!$E$240)</f>
        <v>480</v>
      </c>
      <c r="AO5" s="128">
        <v>1</v>
      </c>
      <c r="AP5" s="14">
        <f t="shared" si="0"/>
        <v>480</v>
      </c>
      <c r="AQ5" s="14">
        <f t="shared" si="0"/>
        <v>480</v>
      </c>
      <c r="AR5" s="14">
        <f t="shared" si="0"/>
        <v>480</v>
      </c>
      <c r="AS5" s="14">
        <f t="shared" si="0"/>
        <v>480</v>
      </c>
      <c r="AT5" s="14">
        <f t="shared" si="0"/>
        <v>480</v>
      </c>
      <c r="AU5" s="14">
        <f t="shared" si="0"/>
        <v>2360</v>
      </c>
      <c r="AV5" s="14">
        <f t="shared" si="0"/>
        <v>2360</v>
      </c>
      <c r="AW5" s="14">
        <f t="shared" si="0"/>
        <v>2360</v>
      </c>
      <c r="AX5" s="14">
        <f t="shared" si="0"/>
        <v>2360</v>
      </c>
      <c r="AY5" s="14">
        <f t="shared" si="0"/>
        <v>2360</v>
      </c>
      <c r="AZ5" s="14">
        <f t="shared" si="1"/>
        <v>2360</v>
      </c>
      <c r="BA5" s="14">
        <f t="shared" si="1"/>
        <v>2360</v>
      </c>
      <c r="BB5" s="14">
        <f t="shared" si="1"/>
        <v>2360</v>
      </c>
      <c r="BC5" s="14">
        <f t="shared" si="1"/>
        <v>2360</v>
      </c>
      <c r="BD5" s="14">
        <f t="shared" si="1"/>
        <v>2360</v>
      </c>
      <c r="BE5" s="14">
        <f t="shared" si="1"/>
        <v>480</v>
      </c>
      <c r="BF5" s="14">
        <f t="shared" si="1"/>
        <v>480</v>
      </c>
    </row>
    <row r="6" spans="2:58">
      <c r="B6" s="59" t="s">
        <v>337</v>
      </c>
      <c r="C6" s="60" t="s">
        <v>339</v>
      </c>
      <c r="D6" s="52">
        <v>0.18</v>
      </c>
      <c r="E6" s="53">
        <f>'C&amp;B'!D38</f>
        <v>0.18</v>
      </c>
      <c r="F6" s="53">
        <f>E6</f>
        <v>0.18</v>
      </c>
      <c r="G6" s="53">
        <f>'C&amp;B'!E38</f>
        <v>0.15</v>
      </c>
      <c r="H6" s="53">
        <f>G6</f>
        <v>0.15</v>
      </c>
      <c r="I6" s="53">
        <f>'C&amp;B'!F38</f>
        <v>0.18</v>
      </c>
      <c r="J6" s="53">
        <f>I6</f>
        <v>0.18</v>
      </c>
      <c r="K6" s="53">
        <f>'C&amp;B'!G38</f>
        <v>0.17</v>
      </c>
      <c r="L6" s="53">
        <f>K6</f>
        <v>0.17</v>
      </c>
      <c r="M6" s="53">
        <f>'C&amp;B'!H38</f>
        <v>0.15</v>
      </c>
      <c r="N6" s="53">
        <f>M6</f>
        <v>0.15</v>
      </c>
      <c r="O6" s="53">
        <f>'C&amp;B'!I38</f>
        <v>0.15</v>
      </c>
      <c r="P6" s="53">
        <f>O6</f>
        <v>0.15</v>
      </c>
      <c r="Q6" s="53">
        <f>'C&amp;B'!J38</f>
        <v>0.13</v>
      </c>
      <c r="R6" s="53">
        <f>Q6</f>
        <v>0.13</v>
      </c>
      <c r="S6" s="52">
        <v>0.15</v>
      </c>
      <c r="T6" s="134">
        <f>INPUT!C25</f>
        <v>0.18</v>
      </c>
      <c r="U6" s="50"/>
      <c r="V6" s="138" t="s">
        <v>694</v>
      </c>
      <c r="W6" s="50">
        <f>IF(ISNUMBER(D6),VLOOKUP(D6,'C&amp;B'!$C$178:$E$186,3,FALSE),0)</f>
        <v>221</v>
      </c>
      <c r="X6" s="50">
        <f>IF(ISNUMBER(E6),VLOOKUP(E6,'C&amp;B'!$C$178:$E$186,3,FALSE),0)</f>
        <v>221</v>
      </c>
      <c r="Y6" s="50">
        <f>IF(ISNUMBER(F6),VLOOKUP(F6,'C&amp;B'!$C$178:$E$186,3,FALSE),0)</f>
        <v>221</v>
      </c>
      <c r="Z6" s="50">
        <f>IF(ISNUMBER(G6),VLOOKUP(G6,'C&amp;B'!$C$178:$E$186,3,FALSE),0)</f>
        <v>224</v>
      </c>
      <c r="AA6" s="50">
        <f>IF(ISNUMBER(H6),VLOOKUP(H6,'C&amp;B'!$C$178:$E$186,3,FALSE),0)</f>
        <v>224</v>
      </c>
      <c r="AB6" s="50">
        <f>IF(ISNUMBER(I6),VLOOKUP(I6,'C&amp;B'!$C$178:$E$186,3,FALSE),0)</f>
        <v>221</v>
      </c>
      <c r="AC6" s="50">
        <f>IF(ISNUMBER(J6),VLOOKUP(J6,'C&amp;B'!$C$178:$E$186,3,FALSE),0)</f>
        <v>221</v>
      </c>
      <c r="AD6" s="50">
        <f>IF(ISNUMBER(K6),VLOOKUP(K6,'C&amp;B'!$C$178:$E$186,3,FALSE),0)</f>
        <v>221</v>
      </c>
      <c r="AE6" s="50">
        <f>IF(ISNUMBER(L6),VLOOKUP(L6,'C&amp;B'!$C$178:$E$186,3,FALSE),0)</f>
        <v>221</v>
      </c>
      <c r="AF6" s="50">
        <f>IF(ISNUMBER(M6),VLOOKUP(M6,'C&amp;B'!$C$178:$E$186,3,FALSE),0)</f>
        <v>224</v>
      </c>
      <c r="AG6" s="50">
        <f>IF(ISNUMBER(N6),VLOOKUP(N6,'C&amp;B'!$C$178:$E$186,3,FALSE),0)</f>
        <v>224</v>
      </c>
      <c r="AH6" s="50">
        <f>IF(ISNUMBER(O6),VLOOKUP(O6,'C&amp;B'!$C$178:$E$186,3,FALSE),0)</f>
        <v>224</v>
      </c>
      <c r="AI6" s="50">
        <f>IF(ISNUMBER(P6),VLOOKUP(P6,'C&amp;B'!$C$178:$E$186,3,FALSE),0)</f>
        <v>224</v>
      </c>
      <c r="AJ6" s="50">
        <f>IF(ISNUMBER(Q6),VLOOKUP(Q6,'C&amp;B'!$C$178:$E$186,3,FALSE),0)</f>
        <v>230</v>
      </c>
      <c r="AK6" s="50">
        <f>IF(ISNUMBER(R6),VLOOKUP(R6,'C&amp;B'!$C$178:$E$186,3,FALSE),0)</f>
        <v>230</v>
      </c>
      <c r="AL6" s="50">
        <f>IF(ISNUMBER(S6),VLOOKUP(S6,'C&amp;B'!$C$178:$E$186,3,FALSE),0)</f>
        <v>224</v>
      </c>
      <c r="AM6" s="50">
        <f>IF(ISNUMBER(T6),VLOOKUP(T6,'C&amp;B'!$C$178:$E$186,3,FALSE),0)</f>
        <v>221</v>
      </c>
      <c r="AO6" s="128">
        <f>'C&amp;B'!C8</f>
        <v>156.30000000000001</v>
      </c>
      <c r="AP6" s="14">
        <f>$AO6*W6</f>
        <v>34542.300000000003</v>
      </c>
      <c r="AQ6" s="14">
        <f t="shared" ref="AQ6:BF19" si="2">$AO6*X6</f>
        <v>34542.300000000003</v>
      </c>
      <c r="AR6" s="14">
        <f t="shared" si="2"/>
        <v>34542.300000000003</v>
      </c>
      <c r="AS6" s="14">
        <f t="shared" si="2"/>
        <v>35011.200000000004</v>
      </c>
      <c r="AT6" s="14">
        <f t="shared" si="2"/>
        <v>35011.200000000004</v>
      </c>
      <c r="AU6" s="14">
        <f t="shared" si="2"/>
        <v>34542.300000000003</v>
      </c>
      <c r="AV6" s="14">
        <f t="shared" si="2"/>
        <v>34542.300000000003</v>
      </c>
      <c r="AW6" s="14">
        <f t="shared" si="2"/>
        <v>34542.300000000003</v>
      </c>
      <c r="AX6" s="14">
        <f t="shared" si="2"/>
        <v>34542.300000000003</v>
      </c>
      <c r="AY6" s="14">
        <f t="shared" si="2"/>
        <v>35011.200000000004</v>
      </c>
      <c r="AZ6" s="14">
        <f t="shared" si="2"/>
        <v>35011.200000000004</v>
      </c>
      <c r="BA6" s="14">
        <f t="shared" si="2"/>
        <v>35011.200000000004</v>
      </c>
      <c r="BB6" s="14">
        <f t="shared" si="2"/>
        <v>35011.200000000004</v>
      </c>
      <c r="BC6" s="14">
        <f t="shared" si="2"/>
        <v>35949</v>
      </c>
      <c r="BD6" s="14">
        <f t="shared" si="2"/>
        <v>35949</v>
      </c>
      <c r="BE6" s="14">
        <f t="shared" si="2"/>
        <v>35011.200000000004</v>
      </c>
      <c r="BF6" s="14">
        <f t="shared" si="2"/>
        <v>34542.300000000003</v>
      </c>
    </row>
    <row r="7" spans="2:58">
      <c r="B7" s="59" t="s">
        <v>338</v>
      </c>
      <c r="C7" s="60" t="s">
        <v>339</v>
      </c>
      <c r="D7" s="52" t="str">
        <f>G7</f>
        <v xml:space="preserve">N/A </v>
      </c>
      <c r="E7" s="53" t="str">
        <f>'C&amp;B'!D39</f>
        <v xml:space="preserve">N/A </v>
      </c>
      <c r="F7" s="53" t="str">
        <f t="shared" ref="F7:H15" si="3">E7</f>
        <v xml:space="preserve">N/A </v>
      </c>
      <c r="G7" s="53" t="str">
        <f>'C&amp;B'!E39</f>
        <v xml:space="preserve">N/A </v>
      </c>
      <c r="H7" s="53" t="str">
        <f t="shared" si="3"/>
        <v xml:space="preserve">N/A </v>
      </c>
      <c r="I7" s="53" t="str">
        <f>'C&amp;B'!F39</f>
        <v xml:space="preserve">N/A </v>
      </c>
      <c r="J7" s="53" t="str">
        <f t="shared" ref="J7" si="4">I7</f>
        <v xml:space="preserve">N/A </v>
      </c>
      <c r="K7" s="53" t="str">
        <f>'C&amp;B'!G39</f>
        <v xml:space="preserve">N/A </v>
      </c>
      <c r="L7" s="53" t="str">
        <f t="shared" ref="L7" si="5">K7</f>
        <v xml:space="preserve">N/A </v>
      </c>
      <c r="M7" s="53" t="str">
        <f>'C&amp;B'!H39</f>
        <v xml:space="preserve">N/A </v>
      </c>
      <c r="N7" s="53" t="str">
        <f t="shared" ref="N7" si="6">M7</f>
        <v xml:space="preserve">N/A </v>
      </c>
      <c r="O7" s="53" t="str">
        <f>'C&amp;B'!I39</f>
        <v xml:space="preserve">N/A </v>
      </c>
      <c r="P7" s="53" t="str">
        <f t="shared" ref="P7:R7" si="7">O7</f>
        <v xml:space="preserve">N/A </v>
      </c>
      <c r="Q7" s="53" t="str">
        <f>'C&amp;B'!J39</f>
        <v xml:space="preserve">N/A </v>
      </c>
      <c r="R7" s="53" t="str">
        <f t="shared" si="7"/>
        <v xml:space="preserve">N/A </v>
      </c>
      <c r="S7" s="52" t="str">
        <f>Q7</f>
        <v xml:space="preserve">N/A </v>
      </c>
      <c r="T7" s="134">
        <f>INPUT!C26</f>
        <v>0.21</v>
      </c>
      <c r="U7" s="50"/>
      <c r="V7" s="138" t="s">
        <v>694</v>
      </c>
      <c r="W7" s="50">
        <f>IF(ISNUMBER(D7),VLOOKUP(D7,'C&amp;B'!$C$188:$E$194,3,FALSE),0)</f>
        <v>0</v>
      </c>
      <c r="X7" s="50">
        <f>IF(ISNUMBER(E7),VLOOKUP(E7,'C&amp;B'!$C$188:$E$194,3,FALSE),0)</f>
        <v>0</v>
      </c>
      <c r="Y7" s="50">
        <f>IF(ISNUMBER(F7),VLOOKUP(F7,'C&amp;B'!$C$188:$E$194,3,FALSE),0)</f>
        <v>0</v>
      </c>
      <c r="Z7" s="50">
        <f>IF(ISNUMBER(G7),VLOOKUP(G7,'C&amp;B'!$C$188:$E$194,3,FALSE),0)</f>
        <v>0</v>
      </c>
      <c r="AA7" s="50">
        <f>IF(ISNUMBER(H7),VLOOKUP(H7,'C&amp;B'!$C$188:$E$194,3,FALSE),0)</f>
        <v>0</v>
      </c>
      <c r="AB7" s="50">
        <f>IF(ISNUMBER(I7),VLOOKUP(I7,'C&amp;B'!$C$188:$E$194,3,FALSE),0)</f>
        <v>0</v>
      </c>
      <c r="AC7" s="50">
        <f>IF(ISNUMBER(J7),VLOOKUP(J7,'C&amp;B'!$C$188:$E$194,3,FALSE),0)</f>
        <v>0</v>
      </c>
      <c r="AD7" s="50">
        <f>IF(ISNUMBER(K7),VLOOKUP(K7,'C&amp;B'!$C$188:$E$194,3,FALSE),0)</f>
        <v>0</v>
      </c>
      <c r="AE7" s="50">
        <f>IF(ISNUMBER(L7),VLOOKUP(L7,'C&amp;B'!$C$188:$E$194,3,FALSE),0)</f>
        <v>0</v>
      </c>
      <c r="AF7" s="50">
        <f>IF(ISNUMBER(M7),VLOOKUP(M7,'C&amp;B'!$C$188:$E$194,3,FALSE),0)</f>
        <v>0</v>
      </c>
      <c r="AG7" s="50">
        <f>IF(ISNUMBER(N7),VLOOKUP(N7,'C&amp;B'!$C$188:$E$194,3,FALSE),0)</f>
        <v>0</v>
      </c>
      <c r="AH7" s="50">
        <f>IF(ISNUMBER(O7),VLOOKUP(O7,'C&amp;B'!$C$188:$E$194,3,FALSE),0)</f>
        <v>0</v>
      </c>
      <c r="AI7" s="50">
        <f>IF(ISNUMBER(P7),VLOOKUP(P7,'C&amp;B'!$C$188:$E$194,3,FALSE),0)</f>
        <v>0</v>
      </c>
      <c r="AJ7" s="50">
        <f>IF(ISNUMBER(Q7),VLOOKUP(Q7,'C&amp;B'!$C$188:$E$194,3,FALSE),0)</f>
        <v>0</v>
      </c>
      <c r="AK7" s="50">
        <f>IF(ISNUMBER(R7),VLOOKUP(R7,'C&amp;B'!$C$188:$E$194,3,FALSE),0)</f>
        <v>0</v>
      </c>
      <c r="AL7" s="50">
        <f>IF(ISNUMBER(S7),VLOOKUP(S7,'C&amp;B'!$C$188:$E$194,3,FALSE),0)</f>
        <v>0</v>
      </c>
      <c r="AM7" s="50">
        <f>IF(ISNUMBER(T7),VLOOKUP(T7,'C&amp;B'!$C$188:$E$194,3,FALSE),0)</f>
        <v>146</v>
      </c>
      <c r="AO7" s="128">
        <f>'C&amp;B'!C9</f>
        <v>0</v>
      </c>
      <c r="AP7" s="14">
        <f t="shared" ref="AP7:AP26" si="8">$AO7*W7</f>
        <v>0</v>
      </c>
      <c r="AQ7" s="14">
        <f t="shared" si="2"/>
        <v>0</v>
      </c>
      <c r="AR7" s="14">
        <f t="shared" si="2"/>
        <v>0</v>
      </c>
      <c r="AS7" s="14">
        <f t="shared" si="2"/>
        <v>0</v>
      </c>
      <c r="AT7" s="14">
        <f t="shared" si="2"/>
        <v>0</v>
      </c>
      <c r="AU7" s="14">
        <f t="shared" si="2"/>
        <v>0</v>
      </c>
      <c r="AV7" s="14">
        <f t="shared" si="2"/>
        <v>0</v>
      </c>
      <c r="AW7" s="14">
        <f t="shared" si="2"/>
        <v>0</v>
      </c>
      <c r="AX7" s="14">
        <f t="shared" si="2"/>
        <v>0</v>
      </c>
      <c r="AY7" s="14">
        <f t="shared" si="2"/>
        <v>0</v>
      </c>
      <c r="AZ7" s="14">
        <f t="shared" si="2"/>
        <v>0</v>
      </c>
      <c r="BA7" s="14">
        <f t="shared" si="2"/>
        <v>0</v>
      </c>
      <c r="BB7" s="14">
        <f t="shared" si="2"/>
        <v>0</v>
      </c>
      <c r="BC7" s="14">
        <f t="shared" si="2"/>
        <v>0</v>
      </c>
      <c r="BD7" s="14">
        <f t="shared" si="2"/>
        <v>0</v>
      </c>
      <c r="BE7" s="14">
        <f t="shared" si="2"/>
        <v>0</v>
      </c>
      <c r="BF7" s="14">
        <f t="shared" si="2"/>
        <v>0</v>
      </c>
    </row>
    <row r="8" spans="2:58">
      <c r="B8" s="59" t="s">
        <v>131</v>
      </c>
      <c r="C8" s="60" t="s">
        <v>339</v>
      </c>
      <c r="D8" s="52">
        <v>0.13</v>
      </c>
      <c r="E8" s="53">
        <f>'C&amp;B'!D40</f>
        <v>0.13</v>
      </c>
      <c r="F8" s="53">
        <f t="shared" si="3"/>
        <v>0.13</v>
      </c>
      <c r="G8" s="53">
        <f>'C&amp;B'!E40</f>
        <v>0.11</v>
      </c>
      <c r="H8" s="53">
        <f t="shared" si="3"/>
        <v>0.11</v>
      </c>
      <c r="I8" s="53">
        <f>'C&amp;B'!F40</f>
        <v>0.15</v>
      </c>
      <c r="J8" s="53">
        <f t="shared" ref="J8" si="9">I8</f>
        <v>0.15</v>
      </c>
      <c r="K8" s="53">
        <f>'C&amp;B'!G40</f>
        <v>0.11</v>
      </c>
      <c r="L8" s="53">
        <f t="shared" ref="L8" si="10">K8</f>
        <v>0.11</v>
      </c>
      <c r="M8" s="53">
        <f>'C&amp;B'!H40</f>
        <v>0.11</v>
      </c>
      <c r="N8" s="53">
        <f t="shared" ref="N8" si="11">M8</f>
        <v>0.11</v>
      </c>
      <c r="O8" s="53">
        <f>'C&amp;B'!I40</f>
        <v>0.11</v>
      </c>
      <c r="P8" s="53">
        <f t="shared" ref="P8:R8" si="12">O8</f>
        <v>0.11</v>
      </c>
      <c r="Q8" s="53">
        <f>'C&amp;B'!J40</f>
        <v>0.11</v>
      </c>
      <c r="R8" s="53">
        <f t="shared" si="12"/>
        <v>0.11</v>
      </c>
      <c r="S8" s="52">
        <v>0.11</v>
      </c>
      <c r="T8" s="134">
        <f>INPUT!C27</f>
        <v>0.13</v>
      </c>
      <c r="U8" s="50"/>
      <c r="V8" s="138" t="s">
        <v>694</v>
      </c>
      <c r="W8" s="50">
        <f>IF(ISNUMBER(D8),VLOOKUP(D8,'C&amp;B'!$C$196:$E$202,3,FALSE),0)</f>
        <v>152</v>
      </c>
      <c r="X8" s="50">
        <f>IF(ISNUMBER(E8),VLOOKUP(E8,'C&amp;B'!$C$196:$E$202,3,FALSE),0)</f>
        <v>152</v>
      </c>
      <c r="Y8" s="50">
        <f>IF(ISNUMBER(F8),VLOOKUP(F8,'C&amp;B'!$C$196:$E$202,3,FALSE),0)</f>
        <v>152</v>
      </c>
      <c r="Z8" s="50">
        <f>IF(ISNUMBER(G8),VLOOKUP(G8,'C&amp;B'!$C$196:$E$202,3,FALSE),0)</f>
        <v>157</v>
      </c>
      <c r="AA8" s="50">
        <f>IF(ISNUMBER(H8),VLOOKUP(H8,'C&amp;B'!$C$196:$E$202,3,FALSE),0)</f>
        <v>157</v>
      </c>
      <c r="AB8" s="50">
        <f>IF(ISNUMBER(I8),VLOOKUP(I8,'C&amp;B'!$C$196:$E$202,3,FALSE),0)</f>
        <v>146</v>
      </c>
      <c r="AC8" s="50">
        <f>IF(ISNUMBER(J8),VLOOKUP(J8,'C&amp;B'!$C$196:$E$202,3,FALSE),0)</f>
        <v>146</v>
      </c>
      <c r="AD8" s="50">
        <f>IF(ISNUMBER(K8),VLOOKUP(K8,'C&amp;B'!$C$196:$E$202,3,FALSE),0)</f>
        <v>157</v>
      </c>
      <c r="AE8" s="50">
        <f>IF(ISNUMBER(L8),VLOOKUP(L8,'C&amp;B'!$C$196:$E$202,3,FALSE),0)</f>
        <v>157</v>
      </c>
      <c r="AF8" s="50">
        <f>IF(ISNUMBER(M8),VLOOKUP(M8,'C&amp;B'!$C$196:$E$202,3,FALSE),0)</f>
        <v>157</v>
      </c>
      <c r="AG8" s="50">
        <f>IF(ISNUMBER(N8),VLOOKUP(N8,'C&amp;B'!$C$196:$E$202,3,FALSE),0)</f>
        <v>157</v>
      </c>
      <c r="AH8" s="50">
        <f>IF(ISNUMBER(O8),VLOOKUP(O8,'C&amp;B'!$C$196:$E$202,3,FALSE),0)</f>
        <v>157</v>
      </c>
      <c r="AI8" s="50">
        <f>IF(ISNUMBER(P8),VLOOKUP(P8,'C&amp;B'!$C$196:$E$202,3,FALSE),0)</f>
        <v>157</v>
      </c>
      <c r="AJ8" s="50">
        <f>IF(ISNUMBER(Q8),VLOOKUP(Q8,'C&amp;B'!$C$196:$E$202,3,FALSE),0)</f>
        <v>157</v>
      </c>
      <c r="AK8" s="50">
        <f>IF(ISNUMBER(R8),VLOOKUP(R8,'C&amp;B'!$C$196:$E$202,3,FALSE),0)</f>
        <v>157</v>
      </c>
      <c r="AL8" s="50">
        <f>IF(ISNUMBER(S8),VLOOKUP(S8,'C&amp;B'!$C$196:$E$202,3,FALSE),0)</f>
        <v>157</v>
      </c>
      <c r="AM8" s="50">
        <f>IF(ISNUMBER(T8),VLOOKUP(T8,'C&amp;B'!$C$196:$E$202,3,FALSE),0)</f>
        <v>152</v>
      </c>
      <c r="AO8" s="128">
        <f>'C&amp;B'!C12</f>
        <v>58.9</v>
      </c>
      <c r="AP8" s="14">
        <f t="shared" si="8"/>
        <v>8952.7999999999993</v>
      </c>
      <c r="AQ8" s="14">
        <f t="shared" si="2"/>
        <v>8952.7999999999993</v>
      </c>
      <c r="AR8" s="14">
        <f t="shared" si="2"/>
        <v>8952.7999999999993</v>
      </c>
      <c r="AS8" s="14">
        <f t="shared" si="2"/>
        <v>9247.2999999999993</v>
      </c>
      <c r="AT8" s="14">
        <f t="shared" si="2"/>
        <v>9247.2999999999993</v>
      </c>
      <c r="AU8" s="14">
        <f t="shared" si="2"/>
        <v>8599.4</v>
      </c>
      <c r="AV8" s="14">
        <f t="shared" si="2"/>
        <v>8599.4</v>
      </c>
      <c r="AW8" s="14">
        <f t="shared" si="2"/>
        <v>9247.2999999999993</v>
      </c>
      <c r="AX8" s="14">
        <f t="shared" si="2"/>
        <v>9247.2999999999993</v>
      </c>
      <c r="AY8" s="14">
        <f t="shared" si="2"/>
        <v>9247.2999999999993</v>
      </c>
      <c r="AZ8" s="14">
        <f t="shared" si="2"/>
        <v>9247.2999999999993</v>
      </c>
      <c r="BA8" s="14">
        <f t="shared" si="2"/>
        <v>9247.2999999999993</v>
      </c>
      <c r="BB8" s="14">
        <f t="shared" si="2"/>
        <v>9247.2999999999993</v>
      </c>
      <c r="BC8" s="14">
        <f t="shared" si="2"/>
        <v>9247.2999999999993</v>
      </c>
      <c r="BD8" s="14">
        <f t="shared" si="2"/>
        <v>9247.2999999999993</v>
      </c>
      <c r="BE8" s="14">
        <f t="shared" si="2"/>
        <v>9247.2999999999993</v>
      </c>
      <c r="BF8" s="14">
        <f t="shared" si="2"/>
        <v>8952.7999999999993</v>
      </c>
    </row>
    <row r="9" spans="2:58">
      <c r="B9" s="59" t="s">
        <v>341</v>
      </c>
      <c r="C9" s="60" t="s">
        <v>339</v>
      </c>
      <c r="D9" s="52">
        <v>0.11</v>
      </c>
      <c r="E9" s="53">
        <f>'C&amp;B'!D41</f>
        <v>0.13</v>
      </c>
      <c r="F9" s="53">
        <f t="shared" si="3"/>
        <v>0.13</v>
      </c>
      <c r="G9" s="53">
        <f>'C&amp;B'!E41</f>
        <v>0.11</v>
      </c>
      <c r="H9" s="53">
        <f t="shared" si="3"/>
        <v>0.11</v>
      </c>
      <c r="I9" s="53">
        <f>'C&amp;B'!F41</f>
        <v>0.11</v>
      </c>
      <c r="J9" s="53">
        <f t="shared" ref="J9" si="13">I9</f>
        <v>0.11</v>
      </c>
      <c r="K9" s="53">
        <f>'C&amp;B'!G41</f>
        <v>0.11</v>
      </c>
      <c r="L9" s="53">
        <f t="shared" ref="L9" si="14">K9</f>
        <v>0.11</v>
      </c>
      <c r="M9" s="53">
        <f>'C&amp;B'!H41</f>
        <v>0.11</v>
      </c>
      <c r="N9" s="53">
        <f t="shared" ref="N9" si="15">M9</f>
        <v>0.11</v>
      </c>
      <c r="O9" s="53">
        <f>'C&amp;B'!I41</f>
        <v>0.11</v>
      </c>
      <c r="P9" s="53">
        <f t="shared" ref="P9:R9" si="16">O9</f>
        <v>0.11</v>
      </c>
      <c r="Q9" s="53">
        <f>'C&amp;B'!J41</f>
        <v>0.11</v>
      </c>
      <c r="R9" s="53">
        <f t="shared" si="16"/>
        <v>0.11</v>
      </c>
      <c r="S9" s="52">
        <v>0.11</v>
      </c>
      <c r="T9" s="134">
        <f>INPUT!C28</f>
        <v>0.13</v>
      </c>
      <c r="U9" s="50"/>
      <c r="V9" s="138" t="s">
        <v>694</v>
      </c>
      <c r="W9" s="50">
        <f>IF(ISNUMBER(D9),VLOOKUP(D9,'C&amp;B'!$C$204:$E$210,3,FALSE),0)</f>
        <v>187</v>
      </c>
      <c r="X9" s="50">
        <f>IF(ISNUMBER(E9),VLOOKUP(E9,'C&amp;B'!$C$204:$E$210,3,FALSE),0)</f>
        <v>185</v>
      </c>
      <c r="Y9" s="50">
        <f>IF(ISNUMBER(F9),VLOOKUP(F9,'C&amp;B'!$C$204:$E$210,3,FALSE),0)</f>
        <v>185</v>
      </c>
      <c r="Z9" s="50">
        <f>IF(ISNUMBER(G9),VLOOKUP(G9,'C&amp;B'!$C$204:$E$210,3,FALSE),0)</f>
        <v>187</v>
      </c>
      <c r="AA9" s="50">
        <f>IF(ISNUMBER(H9),VLOOKUP(H9,'C&amp;B'!$C$204:$E$210,3,FALSE),0)</f>
        <v>187</v>
      </c>
      <c r="AB9" s="50">
        <f>IF(ISNUMBER(I9),VLOOKUP(I9,'C&amp;B'!$C$204:$E$210,3,FALSE),0)</f>
        <v>187</v>
      </c>
      <c r="AC9" s="50">
        <f>IF(ISNUMBER(J9),VLOOKUP(J9,'C&amp;B'!$C$204:$E$210,3,FALSE),0)</f>
        <v>187</v>
      </c>
      <c r="AD9" s="50">
        <f>IF(ISNUMBER(K9),VLOOKUP(K9,'C&amp;B'!$C$204:$E$210,3,FALSE),0)</f>
        <v>187</v>
      </c>
      <c r="AE9" s="50">
        <f>IF(ISNUMBER(L9),VLOOKUP(L9,'C&amp;B'!$C$204:$E$210,3,FALSE),0)</f>
        <v>187</v>
      </c>
      <c r="AF9" s="50">
        <f>IF(ISNUMBER(M9),VLOOKUP(M9,'C&amp;B'!$C$204:$E$210,3,FALSE),0)</f>
        <v>187</v>
      </c>
      <c r="AG9" s="50">
        <f>IF(ISNUMBER(N9),VLOOKUP(N9,'C&amp;B'!$C$204:$E$210,3,FALSE),0)</f>
        <v>187</v>
      </c>
      <c r="AH9" s="50">
        <f>IF(ISNUMBER(O9),VLOOKUP(O9,'C&amp;B'!$C$204:$E$210,3,FALSE),0)</f>
        <v>187</v>
      </c>
      <c r="AI9" s="50">
        <f>IF(ISNUMBER(P9),VLOOKUP(P9,'C&amp;B'!$C$204:$E$210,3,FALSE),0)</f>
        <v>187</v>
      </c>
      <c r="AJ9" s="50">
        <f>IF(ISNUMBER(Q9),VLOOKUP(Q9,'C&amp;B'!$C$204:$E$210,3,FALSE),0)</f>
        <v>187</v>
      </c>
      <c r="AK9" s="50">
        <f>IF(ISNUMBER(R9),VLOOKUP(R9,'C&amp;B'!$C$204:$E$210,3,FALSE),0)</f>
        <v>187</v>
      </c>
      <c r="AL9" s="50">
        <f>IF(ISNUMBER(S9),VLOOKUP(S9,'C&amp;B'!$C$204:$E$210,3,FALSE),0)</f>
        <v>187</v>
      </c>
      <c r="AM9" s="50">
        <f>IF(ISNUMBER(T9),VLOOKUP(T9,'C&amp;B'!$C$204:$E$210,3,FALSE),0)</f>
        <v>185</v>
      </c>
      <c r="AO9" s="128">
        <f>'C&amp;B'!C10</f>
        <v>58.1</v>
      </c>
      <c r="AP9" s="14">
        <f t="shared" si="8"/>
        <v>10864.7</v>
      </c>
      <c r="AQ9" s="14">
        <f t="shared" si="2"/>
        <v>10748.5</v>
      </c>
      <c r="AR9" s="14">
        <f t="shared" si="2"/>
        <v>10748.5</v>
      </c>
      <c r="AS9" s="14">
        <f t="shared" si="2"/>
        <v>10864.7</v>
      </c>
      <c r="AT9" s="14">
        <f t="shared" si="2"/>
        <v>10864.7</v>
      </c>
      <c r="AU9" s="14">
        <f t="shared" si="2"/>
        <v>10864.7</v>
      </c>
      <c r="AV9" s="14">
        <f t="shared" si="2"/>
        <v>10864.7</v>
      </c>
      <c r="AW9" s="14">
        <f t="shared" si="2"/>
        <v>10864.7</v>
      </c>
      <c r="AX9" s="14">
        <f t="shared" si="2"/>
        <v>10864.7</v>
      </c>
      <c r="AY9" s="14">
        <f t="shared" si="2"/>
        <v>10864.7</v>
      </c>
      <c r="AZ9" s="14">
        <f t="shared" si="2"/>
        <v>10864.7</v>
      </c>
      <c r="BA9" s="14">
        <f t="shared" si="2"/>
        <v>10864.7</v>
      </c>
      <c r="BB9" s="14">
        <f t="shared" si="2"/>
        <v>10864.7</v>
      </c>
      <c r="BC9" s="14">
        <f t="shared" si="2"/>
        <v>10864.7</v>
      </c>
      <c r="BD9" s="14">
        <f t="shared" si="2"/>
        <v>10864.7</v>
      </c>
      <c r="BE9" s="14">
        <f t="shared" si="2"/>
        <v>10864.7</v>
      </c>
      <c r="BF9" s="14">
        <f t="shared" si="2"/>
        <v>10748.5</v>
      </c>
    </row>
    <row r="10" spans="2:58">
      <c r="B10" s="59" t="s">
        <v>340</v>
      </c>
      <c r="C10" s="60" t="s">
        <v>339</v>
      </c>
      <c r="D10" s="52">
        <v>0.11</v>
      </c>
      <c r="E10" s="53">
        <f>'C&amp;B'!D42</f>
        <v>0.13</v>
      </c>
      <c r="F10" s="53">
        <f t="shared" si="3"/>
        <v>0.13</v>
      </c>
      <c r="G10" s="53">
        <f>'C&amp;B'!E42</f>
        <v>0.2</v>
      </c>
      <c r="H10" s="53">
        <f t="shared" si="3"/>
        <v>0.2</v>
      </c>
      <c r="I10" s="53">
        <f>'C&amp;B'!F42</f>
        <v>0.13</v>
      </c>
      <c r="J10" s="53">
        <f t="shared" ref="J10" si="17">I10</f>
        <v>0.13</v>
      </c>
      <c r="K10" s="53">
        <f>'C&amp;B'!G42</f>
        <v>0.13</v>
      </c>
      <c r="L10" s="53">
        <f t="shared" ref="L10" si="18">K10</f>
        <v>0.13</v>
      </c>
      <c r="M10" s="53">
        <f>'C&amp;B'!H42</f>
        <v>0.11</v>
      </c>
      <c r="N10" s="53">
        <f t="shared" ref="N10" si="19">M10</f>
        <v>0.11</v>
      </c>
      <c r="O10" s="53">
        <f>'C&amp;B'!I42</f>
        <v>0.11</v>
      </c>
      <c r="P10" s="53">
        <f t="shared" ref="P10:R10" si="20">O10</f>
        <v>0.11</v>
      </c>
      <c r="Q10" s="53">
        <f>'C&amp;B'!J42</f>
        <v>0.11</v>
      </c>
      <c r="R10" s="53">
        <f t="shared" si="20"/>
        <v>0.11</v>
      </c>
      <c r="S10" s="52">
        <v>0.11</v>
      </c>
      <c r="T10" s="134">
        <f>T9</f>
        <v>0.13</v>
      </c>
      <c r="U10" s="50"/>
      <c r="V10" s="138" t="s">
        <v>694</v>
      </c>
      <c r="W10" s="50">
        <f>W9</f>
        <v>187</v>
      </c>
      <c r="X10" s="50">
        <f t="shared" ref="X10:AM10" si="21">X9</f>
        <v>185</v>
      </c>
      <c r="Y10" s="50">
        <f t="shared" si="21"/>
        <v>185</v>
      </c>
      <c r="Z10" s="50">
        <f t="shared" si="21"/>
        <v>187</v>
      </c>
      <c r="AA10" s="50">
        <f t="shared" si="21"/>
        <v>187</v>
      </c>
      <c r="AB10" s="50">
        <f t="shared" si="21"/>
        <v>187</v>
      </c>
      <c r="AC10" s="50">
        <f t="shared" si="21"/>
        <v>187</v>
      </c>
      <c r="AD10" s="50">
        <f t="shared" si="21"/>
        <v>187</v>
      </c>
      <c r="AE10" s="50">
        <f t="shared" si="21"/>
        <v>187</v>
      </c>
      <c r="AF10" s="50">
        <f t="shared" si="21"/>
        <v>187</v>
      </c>
      <c r="AG10" s="50">
        <f t="shared" si="21"/>
        <v>187</v>
      </c>
      <c r="AH10" s="50">
        <f t="shared" si="21"/>
        <v>187</v>
      </c>
      <c r="AI10" s="50">
        <f t="shared" si="21"/>
        <v>187</v>
      </c>
      <c r="AJ10" s="50">
        <f t="shared" si="21"/>
        <v>187</v>
      </c>
      <c r="AK10" s="50">
        <f t="shared" si="21"/>
        <v>187</v>
      </c>
      <c r="AL10" s="50">
        <f t="shared" si="21"/>
        <v>187</v>
      </c>
      <c r="AM10" s="50">
        <f t="shared" si="21"/>
        <v>185</v>
      </c>
      <c r="AO10" s="128">
        <f>'C&amp;B'!C11</f>
        <v>0.8</v>
      </c>
      <c r="AP10" s="14">
        <f t="shared" si="8"/>
        <v>149.6</v>
      </c>
      <c r="AQ10" s="14">
        <f t="shared" si="2"/>
        <v>148</v>
      </c>
      <c r="AR10" s="14">
        <f t="shared" si="2"/>
        <v>148</v>
      </c>
      <c r="AS10" s="14">
        <f t="shared" si="2"/>
        <v>149.6</v>
      </c>
      <c r="AT10" s="14">
        <f t="shared" si="2"/>
        <v>149.6</v>
      </c>
      <c r="AU10" s="14">
        <f t="shared" si="2"/>
        <v>149.6</v>
      </c>
      <c r="AV10" s="14">
        <f t="shared" si="2"/>
        <v>149.6</v>
      </c>
      <c r="AW10" s="14">
        <f t="shared" si="2"/>
        <v>149.6</v>
      </c>
      <c r="AX10" s="14">
        <f t="shared" si="2"/>
        <v>149.6</v>
      </c>
      <c r="AY10" s="14">
        <f t="shared" si="2"/>
        <v>149.6</v>
      </c>
      <c r="AZ10" s="14">
        <f t="shared" si="2"/>
        <v>149.6</v>
      </c>
      <c r="BA10" s="14">
        <f t="shared" si="2"/>
        <v>149.6</v>
      </c>
      <c r="BB10" s="14">
        <f t="shared" si="2"/>
        <v>149.6</v>
      </c>
      <c r="BC10" s="14">
        <f t="shared" si="2"/>
        <v>149.6</v>
      </c>
      <c r="BD10" s="14">
        <f t="shared" si="2"/>
        <v>149.6</v>
      </c>
      <c r="BE10" s="14">
        <f t="shared" si="2"/>
        <v>149.6</v>
      </c>
      <c r="BF10" s="14">
        <f t="shared" si="2"/>
        <v>148</v>
      </c>
    </row>
    <row r="11" spans="2:58">
      <c r="B11" s="59" t="s">
        <v>136</v>
      </c>
      <c r="C11" s="60" t="s">
        <v>339</v>
      </c>
      <c r="D11" s="52">
        <v>1</v>
      </c>
      <c r="E11" s="53">
        <f>'C&amp;B'!D43</f>
        <v>1</v>
      </c>
      <c r="F11" s="53">
        <f t="shared" si="3"/>
        <v>1</v>
      </c>
      <c r="G11" s="53">
        <f>'C&amp;B'!E43</f>
        <v>1</v>
      </c>
      <c r="H11" s="53">
        <f t="shared" si="3"/>
        <v>1</v>
      </c>
      <c r="I11" s="53">
        <f>'C&amp;B'!F43</f>
        <v>1.2</v>
      </c>
      <c r="J11" s="53">
        <f t="shared" ref="J11" si="22">I11</f>
        <v>1.2</v>
      </c>
      <c r="K11" s="53">
        <f>'C&amp;B'!G43</f>
        <v>1</v>
      </c>
      <c r="L11" s="53">
        <f t="shared" ref="L11" si="23">K11</f>
        <v>1</v>
      </c>
      <c r="M11" s="53">
        <f>'C&amp;B'!H43</f>
        <v>1</v>
      </c>
      <c r="N11" s="53">
        <f t="shared" ref="N11" si="24">M11</f>
        <v>1</v>
      </c>
      <c r="O11" s="53">
        <f>'C&amp;B'!I43</f>
        <v>1</v>
      </c>
      <c r="P11" s="53">
        <f t="shared" ref="P11:R11" si="25">O11</f>
        <v>1</v>
      </c>
      <c r="Q11" s="53">
        <f>'C&amp;B'!J43</f>
        <v>1</v>
      </c>
      <c r="R11" s="53">
        <f t="shared" si="25"/>
        <v>1</v>
      </c>
      <c r="S11" s="52">
        <v>1</v>
      </c>
      <c r="T11" s="134">
        <f>INPUT!C29</f>
        <v>1</v>
      </c>
      <c r="U11" s="50"/>
      <c r="V11" s="138" t="s">
        <v>694</v>
      </c>
      <c r="W11" s="50">
        <f>IF(ISNUMBER(D11),VLOOKUP(D11,'C&amp;B'!$C$212:$E$216,3,FALSE),0)</f>
        <v>330</v>
      </c>
      <c r="X11" s="50">
        <f>IF(ISNUMBER(E11),VLOOKUP(E11,'C&amp;B'!$C$212:$E$216,3,FALSE),0)</f>
        <v>330</v>
      </c>
      <c r="Y11" s="50">
        <f>IF(ISNUMBER(F11),VLOOKUP(F11,'C&amp;B'!$C$212:$E$216,3,FALSE),0)</f>
        <v>330</v>
      </c>
      <c r="Z11" s="50">
        <f>IF(ISNUMBER(G11),VLOOKUP(G11,'C&amp;B'!$C$212:$E$216,3,FALSE),0)</f>
        <v>330</v>
      </c>
      <c r="AA11" s="50">
        <f>IF(ISNUMBER(H11),VLOOKUP(H11,'C&amp;B'!$C$212:$E$216,3,FALSE),0)</f>
        <v>330</v>
      </c>
      <c r="AB11" s="50">
        <f>IF(ISNUMBER(I11),VLOOKUP(I11,'C&amp;B'!$C$212:$E$216,3,FALSE),0)</f>
        <v>270</v>
      </c>
      <c r="AC11" s="50">
        <f>IF(ISNUMBER(J11),VLOOKUP(J11,'C&amp;B'!$C$212:$E$216,3,FALSE),0)</f>
        <v>270</v>
      </c>
      <c r="AD11" s="50">
        <f>IF(ISNUMBER(K11),VLOOKUP(K11,'C&amp;B'!$C$212:$E$216,3,FALSE),0)</f>
        <v>330</v>
      </c>
      <c r="AE11" s="50">
        <f>IF(ISNUMBER(L11),VLOOKUP(L11,'C&amp;B'!$C$212:$E$216,3,FALSE),0)</f>
        <v>330</v>
      </c>
      <c r="AF11" s="50">
        <f>IF(ISNUMBER(M11),VLOOKUP(M11,'C&amp;B'!$C$212:$E$216,3,FALSE),0)</f>
        <v>330</v>
      </c>
      <c r="AG11" s="50">
        <f>IF(ISNUMBER(N11),VLOOKUP(N11,'C&amp;B'!$C$212:$E$216,3,FALSE),0)</f>
        <v>330</v>
      </c>
      <c r="AH11" s="50">
        <f>IF(ISNUMBER(O11),VLOOKUP(O11,'C&amp;B'!$C$212:$E$216,3,FALSE),0)</f>
        <v>330</v>
      </c>
      <c r="AI11" s="50">
        <f>IF(ISNUMBER(P11),VLOOKUP(P11,'C&amp;B'!$C$212:$E$216,3,FALSE),0)</f>
        <v>330</v>
      </c>
      <c r="AJ11" s="50">
        <f>IF(ISNUMBER(Q11),VLOOKUP(Q11,'C&amp;B'!$C$212:$E$216,3,FALSE),0)</f>
        <v>330</v>
      </c>
      <c r="AK11" s="50">
        <f>IF(ISNUMBER(R11),VLOOKUP(R11,'C&amp;B'!$C$212:$E$216,3,FALSE),0)</f>
        <v>330</v>
      </c>
      <c r="AL11" s="50">
        <f>IF(ISNUMBER(S11),VLOOKUP(S11,'C&amp;B'!$C$212:$E$216,3,FALSE),0)</f>
        <v>330</v>
      </c>
      <c r="AM11" s="50">
        <f>IF(ISNUMBER(T11),VLOOKUP(T11,'C&amp;B'!$C$212:$E$216,3,FALSE),0)</f>
        <v>330</v>
      </c>
      <c r="AO11" s="128">
        <f>'C&amp;B'!C15</f>
        <v>2.1</v>
      </c>
      <c r="AP11" s="14">
        <f t="shared" si="8"/>
        <v>693</v>
      </c>
      <c r="AQ11" s="14">
        <f t="shared" si="2"/>
        <v>693</v>
      </c>
      <c r="AR11" s="14">
        <f t="shared" si="2"/>
        <v>693</v>
      </c>
      <c r="AS11" s="14">
        <f t="shared" si="2"/>
        <v>693</v>
      </c>
      <c r="AT11" s="14">
        <f t="shared" si="2"/>
        <v>693</v>
      </c>
      <c r="AU11" s="14">
        <f t="shared" si="2"/>
        <v>567</v>
      </c>
      <c r="AV11" s="14">
        <f t="shared" si="2"/>
        <v>567</v>
      </c>
      <c r="AW11" s="14">
        <f t="shared" si="2"/>
        <v>693</v>
      </c>
      <c r="AX11" s="14">
        <f t="shared" si="2"/>
        <v>693</v>
      </c>
      <c r="AY11" s="14">
        <f t="shared" si="2"/>
        <v>693</v>
      </c>
      <c r="AZ11" s="14">
        <f t="shared" si="2"/>
        <v>693</v>
      </c>
      <c r="BA11" s="14">
        <f t="shared" si="2"/>
        <v>693</v>
      </c>
      <c r="BB11" s="14">
        <f t="shared" si="2"/>
        <v>693</v>
      </c>
      <c r="BC11" s="14">
        <f t="shared" si="2"/>
        <v>693</v>
      </c>
      <c r="BD11" s="14">
        <f t="shared" si="2"/>
        <v>693</v>
      </c>
      <c r="BE11" s="14">
        <f t="shared" si="2"/>
        <v>693</v>
      </c>
      <c r="BF11" s="14">
        <f t="shared" si="2"/>
        <v>693</v>
      </c>
    </row>
    <row r="12" spans="2:58">
      <c r="B12" s="59" t="s">
        <v>138</v>
      </c>
      <c r="C12" s="60" t="s">
        <v>339</v>
      </c>
      <c r="D12" s="52">
        <v>1.2</v>
      </c>
      <c r="E12" s="53">
        <f>'C&amp;B'!D44</f>
        <v>1.4</v>
      </c>
      <c r="F12" s="53">
        <f t="shared" si="3"/>
        <v>1.4</v>
      </c>
      <c r="G12" s="53">
        <f>'C&amp;B'!E44</f>
        <v>0.8</v>
      </c>
      <c r="H12" s="53">
        <f t="shared" si="3"/>
        <v>0.8</v>
      </c>
      <c r="I12" s="53">
        <f>'C&amp;B'!F44</f>
        <v>1.4</v>
      </c>
      <c r="J12" s="53">
        <f t="shared" ref="J12" si="26">I12</f>
        <v>1.4</v>
      </c>
      <c r="K12" s="53">
        <f>'C&amp;B'!G44</f>
        <v>1.2</v>
      </c>
      <c r="L12" s="53">
        <f t="shared" ref="L12" si="27">K12</f>
        <v>1.2</v>
      </c>
      <c r="M12" s="53">
        <f>'C&amp;B'!H44</f>
        <v>0.8</v>
      </c>
      <c r="N12" s="53">
        <f t="shared" ref="N12" si="28">M12</f>
        <v>0.8</v>
      </c>
      <c r="O12" s="53">
        <f>'C&amp;B'!I44</f>
        <v>0.8</v>
      </c>
      <c r="P12" s="53">
        <f t="shared" ref="P12:R12" si="29">O12</f>
        <v>0.8</v>
      </c>
      <c r="Q12" s="53">
        <f>'C&amp;B'!J44</f>
        <v>0.8</v>
      </c>
      <c r="R12" s="53">
        <f t="shared" si="29"/>
        <v>0.8</v>
      </c>
      <c r="S12" s="52">
        <v>0.8</v>
      </c>
      <c r="T12" s="134">
        <f>INPUT!C30</f>
        <v>1.4</v>
      </c>
      <c r="U12" s="50"/>
      <c r="V12" s="138" t="s">
        <v>694</v>
      </c>
      <c r="W12" s="50">
        <f>IF(ISNUMBER(D12),VLOOKUP(D12,'C&amp;B'!$C$218:$E$222,3,FALSE),0)</f>
        <v>300</v>
      </c>
      <c r="X12" s="50">
        <f>IF(ISNUMBER(E12),VLOOKUP(E12,'C&amp;B'!$C$218:$E$222,3,FALSE),0)</f>
        <v>265</v>
      </c>
      <c r="Y12" s="50">
        <f>IF(ISNUMBER(F12),VLOOKUP(F12,'C&amp;B'!$C$218:$E$222,3,FALSE),0)</f>
        <v>265</v>
      </c>
      <c r="Z12" s="50">
        <f>IF(ISNUMBER(G12),VLOOKUP(G12,'C&amp;B'!$C$218:$E$222,3,FALSE),0)</f>
        <v>360</v>
      </c>
      <c r="AA12" s="50">
        <f>IF(ISNUMBER(H12),VLOOKUP(H12,'C&amp;B'!$C$218:$E$222,3,FALSE),0)</f>
        <v>360</v>
      </c>
      <c r="AB12" s="50">
        <f>IF(ISNUMBER(I12),VLOOKUP(I12,'C&amp;B'!$C$218:$E$222,3,FALSE),0)</f>
        <v>265</v>
      </c>
      <c r="AC12" s="50">
        <f>IF(ISNUMBER(J12),VLOOKUP(J12,'C&amp;B'!$C$218:$E$222,3,FALSE),0)</f>
        <v>265</v>
      </c>
      <c r="AD12" s="50">
        <f>IF(ISNUMBER(K12),VLOOKUP(K12,'C&amp;B'!$C$218:$E$222,3,FALSE),0)</f>
        <v>300</v>
      </c>
      <c r="AE12" s="50">
        <f>IF(ISNUMBER(L12),VLOOKUP(L12,'C&amp;B'!$C$218:$E$222,3,FALSE),0)</f>
        <v>300</v>
      </c>
      <c r="AF12" s="50">
        <f>IF(ISNUMBER(M12),VLOOKUP(M12,'C&amp;B'!$C$218:$E$222,3,FALSE),0)</f>
        <v>360</v>
      </c>
      <c r="AG12" s="50">
        <f>IF(ISNUMBER(N12),VLOOKUP(N12,'C&amp;B'!$C$218:$E$222,3,FALSE),0)</f>
        <v>360</v>
      </c>
      <c r="AH12" s="50">
        <f>IF(ISNUMBER(O12),VLOOKUP(O12,'C&amp;B'!$C$218:$E$222,3,FALSE),0)</f>
        <v>360</v>
      </c>
      <c r="AI12" s="50">
        <f>IF(ISNUMBER(P12),VLOOKUP(P12,'C&amp;B'!$C$218:$E$222,3,FALSE),0)</f>
        <v>360</v>
      </c>
      <c r="AJ12" s="50">
        <f>IF(ISNUMBER(Q12),VLOOKUP(Q12,'C&amp;B'!$C$218:$E$222,3,FALSE),0)</f>
        <v>360</v>
      </c>
      <c r="AK12" s="50">
        <f>IF(ISNUMBER(R12),VLOOKUP(R12,'C&amp;B'!$C$218:$E$222,3,FALSE),0)</f>
        <v>360</v>
      </c>
      <c r="AL12" s="50">
        <f>IF(ISNUMBER(S12),VLOOKUP(S12,'C&amp;B'!$C$218:$E$222,3,FALSE),0)</f>
        <v>360</v>
      </c>
      <c r="AM12" s="50">
        <f>IF(ISNUMBER(T12),VLOOKUP(T12,'C&amp;B'!$C$218:$E$222,3,FALSE),0)</f>
        <v>265</v>
      </c>
      <c r="AO12" s="128">
        <f>'C&amp;B'!C14</f>
        <v>26.2</v>
      </c>
      <c r="AP12" s="14">
        <f t="shared" si="8"/>
        <v>7860</v>
      </c>
      <c r="AQ12" s="14">
        <f t="shared" si="2"/>
        <v>6943</v>
      </c>
      <c r="AR12" s="14">
        <f t="shared" si="2"/>
        <v>6943</v>
      </c>
      <c r="AS12" s="14">
        <f t="shared" si="2"/>
        <v>9432</v>
      </c>
      <c r="AT12" s="14">
        <f t="shared" si="2"/>
        <v>9432</v>
      </c>
      <c r="AU12" s="14">
        <f t="shared" si="2"/>
        <v>6943</v>
      </c>
      <c r="AV12" s="14">
        <f t="shared" si="2"/>
        <v>6943</v>
      </c>
      <c r="AW12" s="14">
        <f t="shared" si="2"/>
        <v>7860</v>
      </c>
      <c r="AX12" s="14">
        <f t="shared" si="2"/>
        <v>7860</v>
      </c>
      <c r="AY12" s="14">
        <f t="shared" si="2"/>
        <v>9432</v>
      </c>
      <c r="AZ12" s="14">
        <f t="shared" si="2"/>
        <v>9432</v>
      </c>
      <c r="BA12" s="14">
        <f t="shared" si="2"/>
        <v>9432</v>
      </c>
      <c r="BB12" s="14">
        <f t="shared" si="2"/>
        <v>9432</v>
      </c>
      <c r="BC12" s="14">
        <f t="shared" si="2"/>
        <v>9432</v>
      </c>
      <c r="BD12" s="14">
        <f t="shared" si="2"/>
        <v>9432</v>
      </c>
      <c r="BE12" s="14">
        <f t="shared" si="2"/>
        <v>9432</v>
      </c>
      <c r="BF12" s="14">
        <f t="shared" si="2"/>
        <v>6943</v>
      </c>
    </row>
    <row r="13" spans="2:58">
      <c r="B13" s="59" t="s">
        <v>389</v>
      </c>
      <c r="C13" s="60" t="s">
        <v>25</v>
      </c>
      <c r="D13" s="52">
        <v>0</v>
      </c>
      <c r="E13" s="53">
        <v>0</v>
      </c>
      <c r="F13" s="53">
        <f t="shared" si="3"/>
        <v>0</v>
      </c>
      <c r="G13" s="53">
        <v>0</v>
      </c>
      <c r="H13" s="53">
        <f t="shared" si="3"/>
        <v>0</v>
      </c>
      <c r="I13" s="67">
        <v>0.75</v>
      </c>
      <c r="J13" s="53">
        <f t="shared" ref="J13" si="30">I13</f>
        <v>0.75</v>
      </c>
      <c r="K13" s="67">
        <v>0.75</v>
      </c>
      <c r="L13" s="53">
        <f t="shared" ref="L13" si="31">K13</f>
        <v>0.75</v>
      </c>
      <c r="M13" s="67">
        <v>0.75</v>
      </c>
      <c r="N13" s="53">
        <f t="shared" ref="N13" si="32">M13</f>
        <v>0.75</v>
      </c>
      <c r="O13" s="67">
        <v>0.75</v>
      </c>
      <c r="P13" s="53">
        <f t="shared" ref="P13:R13" si="33">O13</f>
        <v>0.75</v>
      </c>
      <c r="Q13" s="67">
        <v>0.75</v>
      </c>
      <c r="R13" s="53">
        <f t="shared" si="33"/>
        <v>0.75</v>
      </c>
      <c r="S13" s="68">
        <v>0</v>
      </c>
      <c r="T13" s="134">
        <f>INPUT!C33</f>
        <v>0</v>
      </c>
      <c r="U13" s="50"/>
      <c r="V13" s="138" t="s">
        <v>696</v>
      </c>
      <c r="W13" s="50">
        <v>0</v>
      </c>
      <c r="X13" s="50">
        <v>0</v>
      </c>
      <c r="Y13" s="50">
        <v>0</v>
      </c>
      <c r="Z13" s="50">
        <v>0</v>
      </c>
      <c r="AA13" s="50">
        <v>0</v>
      </c>
      <c r="AB13" s="50">
        <v>0</v>
      </c>
      <c r="AC13" s="50">
        <v>0</v>
      </c>
      <c r="AD13" s="50">
        <v>0</v>
      </c>
      <c r="AE13" s="50">
        <v>0</v>
      </c>
      <c r="AF13" s="50">
        <v>0</v>
      </c>
      <c r="AG13" s="50">
        <v>0</v>
      </c>
      <c r="AH13" s="50">
        <v>0</v>
      </c>
      <c r="AI13" s="50">
        <v>0</v>
      </c>
      <c r="AJ13" s="50">
        <v>0</v>
      </c>
      <c r="AK13" s="50">
        <v>0</v>
      </c>
      <c r="AL13" s="50">
        <v>0</v>
      </c>
      <c r="AM13" s="50">
        <v>0</v>
      </c>
      <c r="AO13" s="128">
        <f>'C&amp;B'!C13</f>
        <v>117.1</v>
      </c>
      <c r="AP13" s="14">
        <f t="shared" si="8"/>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row>
    <row r="14" spans="2:58">
      <c r="B14" s="59" t="s">
        <v>143</v>
      </c>
      <c r="C14" s="60" t="s">
        <v>144</v>
      </c>
      <c r="D14" s="52">
        <v>5</v>
      </c>
      <c r="E14" s="53">
        <f>'C&amp;B'!D46</f>
        <v>5</v>
      </c>
      <c r="F14" s="53">
        <f t="shared" si="3"/>
        <v>5</v>
      </c>
      <c r="G14" s="53">
        <f>'C&amp;B'!E46</f>
        <v>3</v>
      </c>
      <c r="H14" s="53">
        <f t="shared" si="3"/>
        <v>3</v>
      </c>
      <c r="I14" s="53">
        <f>'C&amp;B'!F46</f>
        <v>3</v>
      </c>
      <c r="J14" s="53">
        <f t="shared" ref="J14" si="34">I14</f>
        <v>3</v>
      </c>
      <c r="K14" s="53">
        <f>'C&amp;B'!G46</f>
        <v>3</v>
      </c>
      <c r="L14" s="53">
        <f t="shared" ref="L14" si="35">K14</f>
        <v>3</v>
      </c>
      <c r="M14" s="53">
        <f>'C&amp;B'!H46</f>
        <v>3</v>
      </c>
      <c r="N14" s="53">
        <f t="shared" ref="N14" si="36">M14</f>
        <v>3</v>
      </c>
      <c r="O14" s="53">
        <f>'C&amp;B'!I46</f>
        <v>2</v>
      </c>
      <c r="P14" s="53">
        <f t="shared" ref="P14:R14" si="37">O14</f>
        <v>2</v>
      </c>
      <c r="Q14" s="53">
        <f>'C&amp;B'!J46</f>
        <v>1</v>
      </c>
      <c r="R14" s="53">
        <f t="shared" si="37"/>
        <v>1</v>
      </c>
      <c r="S14" s="52">
        <v>5</v>
      </c>
      <c r="T14" s="134">
        <f>INPUT!C31</f>
        <v>5</v>
      </c>
      <c r="U14" s="50"/>
      <c r="V14" s="138" t="s">
        <v>697</v>
      </c>
      <c r="W14" s="50">
        <f>IF(ISNUMBER(D14),VLOOKUP(D14,'C&amp;B'!$C$224:$E$228,3,FALSE),0)</f>
        <v>2</v>
      </c>
      <c r="X14" s="50">
        <f>IF(ISNUMBER(E14),VLOOKUP(E14,'C&amp;B'!$C$224:$E$228,3,FALSE),0)</f>
        <v>2</v>
      </c>
      <c r="Y14" s="50">
        <f>IF(ISNUMBER(F14),VLOOKUP(F14,'C&amp;B'!$C$224:$E$228,3,FALSE),0)</f>
        <v>2</v>
      </c>
      <c r="Z14" s="50">
        <f>IF(ISNUMBER(G14),VLOOKUP(G14,'C&amp;B'!$C$224:$E$228,3,FALSE),0)</f>
        <v>5</v>
      </c>
      <c r="AA14" s="50">
        <f>IF(ISNUMBER(H14),VLOOKUP(H14,'C&amp;B'!$C$224:$E$228,3,FALSE),0)</f>
        <v>5</v>
      </c>
      <c r="AB14" s="50">
        <f>IF(ISNUMBER(I14),VLOOKUP(I14,'C&amp;B'!$C$224:$E$228,3,FALSE),0)</f>
        <v>5</v>
      </c>
      <c r="AC14" s="50">
        <f>IF(ISNUMBER(J14),VLOOKUP(J14,'C&amp;B'!$C$224:$E$228,3,FALSE),0)</f>
        <v>5</v>
      </c>
      <c r="AD14" s="50">
        <f>IF(ISNUMBER(K14),VLOOKUP(K14,'C&amp;B'!$C$224:$E$228,3,FALSE),0)</f>
        <v>5</v>
      </c>
      <c r="AE14" s="50">
        <f>IF(ISNUMBER(L14),VLOOKUP(L14,'C&amp;B'!$C$224:$E$228,3,FALSE),0)</f>
        <v>5</v>
      </c>
      <c r="AF14" s="50">
        <f>IF(ISNUMBER(M14),VLOOKUP(M14,'C&amp;B'!$C$224:$E$228,3,FALSE),0)</f>
        <v>5</v>
      </c>
      <c r="AG14" s="50">
        <f>IF(ISNUMBER(N14),VLOOKUP(N14,'C&amp;B'!$C$224:$E$228,3,FALSE),0)</f>
        <v>5</v>
      </c>
      <c r="AH14" s="50">
        <f>IF(ISNUMBER(O14),VLOOKUP(O14,'C&amp;B'!$C$224:$E$228,3,FALSE),0)</f>
        <v>6</v>
      </c>
      <c r="AI14" s="50">
        <f>IF(ISNUMBER(P14),VLOOKUP(P14,'C&amp;B'!$C$224:$E$228,3,FALSE),0)</f>
        <v>6</v>
      </c>
      <c r="AJ14" s="50">
        <f>IF(ISNUMBER(Q14),VLOOKUP(Q14,'C&amp;B'!$C$224:$E$228,3,FALSE),0)</f>
        <v>8</v>
      </c>
      <c r="AK14" s="50">
        <f>IF(ISNUMBER(R14),VLOOKUP(R14,'C&amp;B'!$C$224:$E$228,3,FALSE),0)</f>
        <v>8</v>
      </c>
      <c r="AL14" s="50">
        <f>IF(ISNUMBER(S14),VLOOKUP(S14,'C&amp;B'!$C$224:$E$228,3,FALSE),0)</f>
        <v>2</v>
      </c>
      <c r="AM14" s="50">
        <f>IF(ISNUMBER(T14),VLOOKUP(T14,'C&amp;B'!$C$224:$E$228,3,FALSE),0)</f>
        <v>2</v>
      </c>
      <c r="AO14" s="128">
        <v>1</v>
      </c>
      <c r="AP14" s="14">
        <f t="shared" si="8"/>
        <v>2</v>
      </c>
      <c r="AQ14" s="14">
        <f t="shared" si="2"/>
        <v>2</v>
      </c>
      <c r="AR14" s="14">
        <f t="shared" si="2"/>
        <v>2</v>
      </c>
      <c r="AS14" s="14">
        <f t="shared" si="2"/>
        <v>5</v>
      </c>
      <c r="AT14" s="14">
        <f t="shared" si="2"/>
        <v>5</v>
      </c>
      <c r="AU14" s="14">
        <f t="shared" si="2"/>
        <v>5</v>
      </c>
      <c r="AV14" s="14">
        <f t="shared" si="2"/>
        <v>5</v>
      </c>
      <c r="AW14" s="14">
        <f t="shared" si="2"/>
        <v>5</v>
      </c>
      <c r="AX14" s="14">
        <f t="shared" si="2"/>
        <v>5</v>
      </c>
      <c r="AY14" s="14">
        <f t="shared" si="2"/>
        <v>5</v>
      </c>
      <c r="AZ14" s="14">
        <f t="shared" si="2"/>
        <v>5</v>
      </c>
      <c r="BA14" s="14">
        <f t="shared" si="2"/>
        <v>6</v>
      </c>
      <c r="BB14" s="14">
        <f t="shared" si="2"/>
        <v>6</v>
      </c>
      <c r="BC14" s="14">
        <f t="shared" si="2"/>
        <v>8</v>
      </c>
      <c r="BD14" s="14">
        <f t="shared" si="2"/>
        <v>8</v>
      </c>
      <c r="BE14" s="14">
        <f t="shared" si="2"/>
        <v>2</v>
      </c>
      <c r="BF14" s="14">
        <f t="shared" si="2"/>
        <v>2</v>
      </c>
    </row>
    <row r="15" spans="2:58">
      <c r="B15" s="59" t="s">
        <v>145</v>
      </c>
      <c r="C15" s="60" t="s">
        <v>146</v>
      </c>
      <c r="D15" s="52">
        <v>0.05</v>
      </c>
      <c r="E15" s="53">
        <f>'C&amp;B'!D47</f>
        <v>0.05</v>
      </c>
      <c r="F15" s="53">
        <f t="shared" si="3"/>
        <v>0.05</v>
      </c>
      <c r="G15" s="53">
        <f>'C&amp;B'!E47</f>
        <v>0.02</v>
      </c>
      <c r="H15" s="53">
        <f t="shared" si="3"/>
        <v>0.02</v>
      </c>
      <c r="I15" s="53">
        <f>'C&amp;B'!F47</f>
        <v>0.05</v>
      </c>
      <c r="J15" s="53">
        <f t="shared" ref="J15" si="38">I15</f>
        <v>0.05</v>
      </c>
      <c r="K15" s="53">
        <f>'C&amp;B'!G47</f>
        <v>0.05</v>
      </c>
      <c r="L15" s="53">
        <f t="shared" ref="L15" si="39">K15</f>
        <v>0.05</v>
      </c>
      <c r="M15" s="53">
        <f>'C&amp;B'!H47</f>
        <v>0.05</v>
      </c>
      <c r="N15" s="53">
        <f t="shared" ref="N15" si="40">M15</f>
        <v>0.05</v>
      </c>
      <c r="O15" s="53">
        <f>'C&amp;B'!I47</f>
        <v>0.04</v>
      </c>
      <c r="P15" s="53">
        <f t="shared" ref="P15:R15" si="41">O15</f>
        <v>0.04</v>
      </c>
      <c r="Q15" s="53">
        <f>'C&amp;B'!J47</f>
        <v>0.04</v>
      </c>
      <c r="R15" s="53">
        <f t="shared" si="41"/>
        <v>0.04</v>
      </c>
      <c r="S15" s="52">
        <v>0.05</v>
      </c>
      <c r="T15" s="54">
        <f>S15</f>
        <v>0.05</v>
      </c>
      <c r="U15" s="50"/>
      <c r="V15" s="138" t="s">
        <v>696</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O15" s="128">
        <v>1</v>
      </c>
      <c r="AP15" s="14">
        <f t="shared" si="8"/>
        <v>0</v>
      </c>
      <c r="AQ15" s="14">
        <f t="shared" si="2"/>
        <v>0</v>
      </c>
      <c r="AR15" s="14">
        <f t="shared" si="2"/>
        <v>0</v>
      </c>
      <c r="AS15" s="14">
        <f t="shared" si="2"/>
        <v>0</v>
      </c>
      <c r="AT15" s="14">
        <f t="shared" si="2"/>
        <v>0</v>
      </c>
      <c r="AU15" s="14">
        <f t="shared" si="2"/>
        <v>0</v>
      </c>
      <c r="AV15" s="14">
        <f t="shared" si="2"/>
        <v>0</v>
      </c>
      <c r="AW15" s="14">
        <f t="shared" si="2"/>
        <v>0</v>
      </c>
      <c r="AX15" s="14">
        <f t="shared" si="2"/>
        <v>0</v>
      </c>
      <c r="AY15" s="14">
        <f t="shared" si="2"/>
        <v>0</v>
      </c>
      <c r="AZ15" s="14">
        <f t="shared" si="2"/>
        <v>0</v>
      </c>
      <c r="BA15" s="14">
        <f t="shared" si="2"/>
        <v>0</v>
      </c>
      <c r="BB15" s="14">
        <f t="shared" si="2"/>
        <v>0</v>
      </c>
      <c r="BC15" s="14">
        <f t="shared" si="2"/>
        <v>0</v>
      </c>
      <c r="BD15" s="14">
        <f t="shared" si="2"/>
        <v>0</v>
      </c>
      <c r="BE15" s="14">
        <f t="shared" si="2"/>
        <v>0</v>
      </c>
      <c r="BF15" s="14">
        <f t="shared" si="2"/>
        <v>0</v>
      </c>
    </row>
    <row r="16" spans="2:58">
      <c r="B16" s="59" t="s">
        <v>387</v>
      </c>
      <c r="C16" s="60" t="s">
        <v>25</v>
      </c>
      <c r="D16" s="72">
        <f>IF(D4="Gas",SAP!$C$13,SAP!$C$18)</f>
        <v>0.89500000000000002</v>
      </c>
      <c r="E16" s="72">
        <f>IF(E4="Gas",SAP!$C$13,SAP!$C$18)</f>
        <v>0.89500000000000002</v>
      </c>
      <c r="F16" s="72">
        <f>IF(F4="Gas",SAP!$C$13,SAP!$C$18)</f>
        <v>3.3999999999999986</v>
      </c>
      <c r="G16" s="72">
        <f>IF(G4="Gas",SAP!$C$13,SAP!$C$18)</f>
        <v>0.89500000000000002</v>
      </c>
      <c r="H16" s="72">
        <f>IF(H4="Gas",SAP!$C$13,SAP!$C$18)</f>
        <v>3.3999999999999986</v>
      </c>
      <c r="I16" s="72">
        <f>IF(I4="Gas",SAP!$C$13,SAP!$C$18)</f>
        <v>0.89500000000000002</v>
      </c>
      <c r="J16" s="72">
        <f>IF(J4="Gas",SAP!$C$13,SAP!$C$18)</f>
        <v>3.3999999999999986</v>
      </c>
      <c r="K16" s="72">
        <f>IF(K4="Gas",SAP!$C$13,SAP!$C$18)</f>
        <v>0.89500000000000002</v>
      </c>
      <c r="L16" s="72">
        <f>IF(L4="Gas",SAP!$C$13,SAP!$C$18)</f>
        <v>3.3999999999999986</v>
      </c>
      <c r="M16" s="72">
        <f>IF(M4="Gas",SAP!$C$13,SAP!$C$18)</f>
        <v>0.89500000000000002</v>
      </c>
      <c r="N16" s="72">
        <f>IF(N4="Gas",SAP!$C$13,SAP!$C$18)</f>
        <v>3.3999999999999986</v>
      </c>
      <c r="O16" s="72">
        <f>IF(O4="Gas",SAP!$C$13,SAP!$C$18)</f>
        <v>0.89500000000000002</v>
      </c>
      <c r="P16" s="72">
        <f>IF(P4="Gas",SAP!$C$13,SAP!$C$18)</f>
        <v>3.3999999999999986</v>
      </c>
      <c r="Q16" s="72">
        <f>IF(Q4="Gas",SAP!$C$13,SAP!$C$18)</f>
        <v>0.89500000000000002</v>
      </c>
      <c r="R16" s="72">
        <f>IF(R4="Gas",SAP!$C$13,SAP!$C$18)</f>
        <v>3.3999999999999986</v>
      </c>
      <c r="S16" s="72">
        <f>IF(S4="Gas",SAP!$C$13,SAP!$C$18)</f>
        <v>3.3999999999999986</v>
      </c>
      <c r="T16" s="72">
        <f>IF(T4="Gas",SAP!$C$13,SAP!$C$18)</f>
        <v>3.3999999999999986</v>
      </c>
      <c r="U16" s="50"/>
      <c r="V16" s="138" t="s">
        <v>696</v>
      </c>
      <c r="W16" s="50">
        <v>0</v>
      </c>
      <c r="X16" s="50">
        <v>0</v>
      </c>
      <c r="Y16" s="50">
        <v>0</v>
      </c>
      <c r="Z16" s="50">
        <v>0</v>
      </c>
      <c r="AA16" s="50">
        <v>0</v>
      </c>
      <c r="AB16" s="50">
        <v>0</v>
      </c>
      <c r="AC16" s="50">
        <v>0</v>
      </c>
      <c r="AD16" s="50">
        <v>0</v>
      </c>
      <c r="AE16" s="50">
        <v>0</v>
      </c>
      <c r="AF16" s="50">
        <v>0</v>
      </c>
      <c r="AG16" s="50">
        <v>0</v>
      </c>
      <c r="AH16" s="50">
        <v>0</v>
      </c>
      <c r="AI16" s="50">
        <v>0</v>
      </c>
      <c r="AJ16" s="50">
        <v>0</v>
      </c>
      <c r="AK16" s="50">
        <v>0</v>
      </c>
      <c r="AL16" s="50">
        <v>0</v>
      </c>
      <c r="AM16" s="50">
        <v>0</v>
      </c>
      <c r="AO16" s="128">
        <v>1</v>
      </c>
      <c r="AP16" s="14">
        <f t="shared" si="8"/>
        <v>0</v>
      </c>
      <c r="AQ16" s="14">
        <f t="shared" si="2"/>
        <v>0</v>
      </c>
      <c r="AR16" s="14">
        <f t="shared" si="2"/>
        <v>0</v>
      </c>
      <c r="AS16" s="14">
        <f t="shared" si="2"/>
        <v>0</v>
      </c>
      <c r="AT16" s="14">
        <f t="shared" si="2"/>
        <v>0</v>
      </c>
      <c r="AU16" s="14">
        <f t="shared" si="2"/>
        <v>0</v>
      </c>
      <c r="AV16" s="14">
        <f t="shared" si="2"/>
        <v>0</v>
      </c>
      <c r="AW16" s="14">
        <f t="shared" si="2"/>
        <v>0</v>
      </c>
      <c r="AX16" s="14">
        <f t="shared" si="2"/>
        <v>0</v>
      </c>
      <c r="AY16" s="14">
        <f t="shared" si="2"/>
        <v>0</v>
      </c>
      <c r="AZ16" s="14">
        <f t="shared" si="2"/>
        <v>0</v>
      </c>
      <c r="BA16" s="14">
        <f t="shared" si="2"/>
        <v>0</v>
      </c>
      <c r="BB16" s="14">
        <f t="shared" si="2"/>
        <v>0</v>
      </c>
      <c r="BC16" s="14">
        <f t="shared" si="2"/>
        <v>0</v>
      </c>
      <c r="BD16" s="14">
        <f t="shared" si="2"/>
        <v>0</v>
      </c>
      <c r="BE16" s="14">
        <f t="shared" si="2"/>
        <v>0</v>
      </c>
      <c r="BF16" s="14">
        <f t="shared" si="2"/>
        <v>0</v>
      </c>
    </row>
    <row r="17" spans="2:58">
      <c r="B17" s="59" t="s">
        <v>388</v>
      </c>
      <c r="C17" s="60" t="s">
        <v>25</v>
      </c>
      <c r="D17" s="72">
        <f>IF(D4="Gas",SAP!$C$13,SAP!$C$19)</f>
        <v>0.89500000000000002</v>
      </c>
      <c r="E17" s="72">
        <f>IF(E4="Gas",SAP!$C$13,SAP!$C$19)</f>
        <v>0.89500000000000002</v>
      </c>
      <c r="F17" s="72">
        <f>IF(F4="Gas",SAP!$C$13,SAP!$C$19)</f>
        <v>2.2999999999999998</v>
      </c>
      <c r="G17" s="72">
        <f>IF(G4="Gas",SAP!$C$13,SAP!$C$19)</f>
        <v>0.89500000000000002</v>
      </c>
      <c r="H17" s="72">
        <f>IF(H4="Gas",SAP!$C$13,SAP!$C$19)</f>
        <v>2.2999999999999998</v>
      </c>
      <c r="I17" s="72">
        <f>IF(I4="Gas",SAP!$C$13,SAP!$C$19)</f>
        <v>0.89500000000000002</v>
      </c>
      <c r="J17" s="72">
        <f>IF(J4="Gas",SAP!$C$13,SAP!$C$19)</f>
        <v>2.2999999999999998</v>
      </c>
      <c r="K17" s="72">
        <f>IF(K4="Gas",SAP!$C$13,SAP!$C$19)</f>
        <v>0.89500000000000002</v>
      </c>
      <c r="L17" s="72">
        <f>IF(L4="Gas",SAP!$C$13,SAP!$C$19)</f>
        <v>2.2999999999999998</v>
      </c>
      <c r="M17" s="72">
        <f>IF(M4="Gas",SAP!$C$13,SAP!$C$19)</f>
        <v>0.89500000000000002</v>
      </c>
      <c r="N17" s="72">
        <f>IF(N4="Gas",SAP!$C$13,SAP!$C$19)</f>
        <v>2.2999999999999998</v>
      </c>
      <c r="O17" s="72">
        <f>IF(O4="Gas",SAP!$C$13,SAP!$C$19)</f>
        <v>0.89500000000000002</v>
      </c>
      <c r="P17" s="72">
        <f>IF(P4="Gas",SAP!$C$13,SAP!$C$19)</f>
        <v>2.2999999999999998</v>
      </c>
      <c r="Q17" s="72">
        <f>IF(Q4="Gas",SAP!$C$13,SAP!$C$19)</f>
        <v>0.89500000000000002</v>
      </c>
      <c r="R17" s="72">
        <f>IF(R4="Gas",SAP!$C$13,SAP!$C$19)</f>
        <v>2.2999999999999998</v>
      </c>
      <c r="S17" s="72">
        <f>IF(S4="Gas",SAP!$C$13,SAP!$C$19)</f>
        <v>2.2999999999999998</v>
      </c>
      <c r="T17" s="72">
        <f>IF(T4="Gas",SAP!$C$13,SAP!$C$19)</f>
        <v>2.2999999999999998</v>
      </c>
      <c r="U17" s="50"/>
      <c r="V17" s="138" t="s">
        <v>696</v>
      </c>
      <c r="W17" s="50">
        <v>0</v>
      </c>
      <c r="X17" s="50">
        <v>0</v>
      </c>
      <c r="Y17" s="50">
        <v>0</v>
      </c>
      <c r="Z17" s="50">
        <v>0</v>
      </c>
      <c r="AA17" s="50">
        <v>0</v>
      </c>
      <c r="AB17" s="50">
        <v>0</v>
      </c>
      <c r="AC17" s="50">
        <v>0</v>
      </c>
      <c r="AD17" s="50">
        <v>0</v>
      </c>
      <c r="AE17" s="50">
        <v>0</v>
      </c>
      <c r="AF17" s="50">
        <v>0</v>
      </c>
      <c r="AG17" s="50">
        <v>0</v>
      </c>
      <c r="AH17" s="50">
        <v>0</v>
      </c>
      <c r="AI17" s="50">
        <v>0</v>
      </c>
      <c r="AJ17" s="50">
        <v>0</v>
      </c>
      <c r="AK17" s="50">
        <v>0</v>
      </c>
      <c r="AL17" s="50">
        <v>0</v>
      </c>
      <c r="AM17" s="50">
        <v>0</v>
      </c>
      <c r="AO17" s="128">
        <v>1</v>
      </c>
      <c r="AP17" s="14">
        <f t="shared" si="8"/>
        <v>0</v>
      </c>
      <c r="AQ17" s="14">
        <f t="shared" si="2"/>
        <v>0</v>
      </c>
      <c r="AR17" s="14">
        <f t="shared" si="2"/>
        <v>0</v>
      </c>
      <c r="AS17" s="14">
        <f t="shared" si="2"/>
        <v>0</v>
      </c>
      <c r="AT17" s="14">
        <f t="shared" si="2"/>
        <v>0</v>
      </c>
      <c r="AU17" s="14">
        <f t="shared" si="2"/>
        <v>0</v>
      </c>
      <c r="AV17" s="14">
        <f t="shared" si="2"/>
        <v>0</v>
      </c>
      <c r="AW17" s="14">
        <f t="shared" si="2"/>
        <v>0</v>
      </c>
      <c r="AX17" s="14">
        <f t="shared" si="2"/>
        <v>0</v>
      </c>
      <c r="AY17" s="14">
        <f t="shared" si="2"/>
        <v>0</v>
      </c>
      <c r="AZ17" s="14">
        <f t="shared" si="2"/>
        <v>0</v>
      </c>
      <c r="BA17" s="14">
        <f t="shared" si="2"/>
        <v>0</v>
      </c>
      <c r="BB17" s="14">
        <f t="shared" si="2"/>
        <v>0</v>
      </c>
      <c r="BC17" s="14">
        <f t="shared" si="2"/>
        <v>0</v>
      </c>
      <c r="BD17" s="14">
        <f t="shared" si="2"/>
        <v>0</v>
      </c>
      <c r="BE17" s="14">
        <f t="shared" si="2"/>
        <v>0</v>
      </c>
      <c r="BF17" s="14">
        <f t="shared" si="2"/>
        <v>0</v>
      </c>
    </row>
    <row r="18" spans="2:58">
      <c r="B18" s="59" t="s">
        <v>346</v>
      </c>
      <c r="C18" s="60" t="s">
        <v>345</v>
      </c>
      <c r="D18" s="52" t="str">
        <f t="shared" ref="D18:T18" si="42">D4</f>
        <v>Gas</v>
      </c>
      <c r="E18" s="54" t="str">
        <f t="shared" si="42"/>
        <v>Gas</v>
      </c>
      <c r="F18" s="54" t="str">
        <f t="shared" si="42"/>
        <v>ASHP</v>
      </c>
      <c r="G18" s="54" t="str">
        <f t="shared" si="42"/>
        <v>Gas</v>
      </c>
      <c r="H18" s="54" t="str">
        <f t="shared" si="42"/>
        <v>ASHP</v>
      </c>
      <c r="I18" s="54" t="str">
        <f t="shared" si="42"/>
        <v>Gas</v>
      </c>
      <c r="J18" s="54" t="str">
        <f t="shared" si="42"/>
        <v>ASHP</v>
      </c>
      <c r="K18" s="54" t="str">
        <f t="shared" si="42"/>
        <v>Gas</v>
      </c>
      <c r="L18" s="54" t="str">
        <f t="shared" si="42"/>
        <v>ASHP</v>
      </c>
      <c r="M18" s="54" t="str">
        <f t="shared" si="42"/>
        <v>Gas</v>
      </c>
      <c r="N18" s="54" t="str">
        <f t="shared" si="42"/>
        <v>ASHP</v>
      </c>
      <c r="O18" s="54" t="str">
        <f t="shared" si="42"/>
        <v>Gas</v>
      </c>
      <c r="P18" s="54" t="str">
        <f t="shared" si="42"/>
        <v>ASHP</v>
      </c>
      <c r="Q18" s="54" t="str">
        <f t="shared" si="42"/>
        <v>Gas</v>
      </c>
      <c r="R18" s="54" t="str">
        <f t="shared" si="42"/>
        <v>ASHP</v>
      </c>
      <c r="S18" s="52" t="str">
        <f t="shared" si="42"/>
        <v>ASHP</v>
      </c>
      <c r="T18" s="54" t="str">
        <f t="shared" si="42"/>
        <v>ASHP</v>
      </c>
      <c r="U18" s="50"/>
      <c r="V18" s="11" t="s">
        <v>699</v>
      </c>
      <c r="W18" s="50">
        <f>IF(D18="Gas",'C&amp;B'!$E$250,'C&amp;B'!$E$260)</f>
        <v>2747</v>
      </c>
      <c r="X18" s="50">
        <f>IF(E18="Gas",'C&amp;B'!$E$250,'C&amp;B'!$E$260)</f>
        <v>2747</v>
      </c>
      <c r="Y18" s="50">
        <f>IF(F18="Gas",'C&amp;B'!$E$250,'C&amp;B'!$E$260)</f>
        <v>2902</v>
      </c>
      <c r="Z18" s="50">
        <f>IF(G18="Gas",'C&amp;B'!$E$250,'C&amp;B'!$E$260)</f>
        <v>2747</v>
      </c>
      <c r="AA18" s="50">
        <f>IF(H18="Gas",'C&amp;B'!$E$250,'C&amp;B'!$E$260)</f>
        <v>2902</v>
      </c>
      <c r="AB18" s="50">
        <f>IF(I18="Gas",'C&amp;B'!$E$250,'C&amp;B'!$E$260)</f>
        <v>2747</v>
      </c>
      <c r="AC18" s="50">
        <f>IF(J18="Gas",'C&amp;B'!$E$250,'C&amp;B'!$E$260)</f>
        <v>2902</v>
      </c>
      <c r="AD18" s="50">
        <f>IF(K18="Gas",'C&amp;B'!$E$250,'C&amp;B'!$E$260)</f>
        <v>2747</v>
      </c>
      <c r="AE18" s="50">
        <f>IF(L18="Gas",'C&amp;B'!$E$250,'C&amp;B'!$E$260)</f>
        <v>2902</v>
      </c>
      <c r="AF18" s="50">
        <f>IF(M18="Gas",'C&amp;B'!$E$250,'C&amp;B'!$E$260)</f>
        <v>2747</v>
      </c>
      <c r="AG18" s="50">
        <f>IF(N18="Gas",'C&amp;B'!$E$250,'C&amp;B'!$E$260)</f>
        <v>2902</v>
      </c>
      <c r="AH18" s="50">
        <f>IF(O18="Gas",'C&amp;B'!$E$250,'C&amp;B'!$E$260)</f>
        <v>2747</v>
      </c>
      <c r="AI18" s="50">
        <f>IF(P18="Gas",'C&amp;B'!$E$250,'C&amp;B'!$E$260)</f>
        <v>2902</v>
      </c>
      <c r="AJ18" s="50">
        <f>IF(Q18="Gas",'C&amp;B'!$E$250,'C&amp;B'!$E$260)</f>
        <v>2747</v>
      </c>
      <c r="AK18" s="50">
        <f>IF(R18="Gas",'C&amp;B'!$E$250,'C&amp;B'!$E$260)</f>
        <v>2902</v>
      </c>
      <c r="AL18" s="50">
        <f>IF(S18="Gas",'C&amp;B'!$E$250,'C&amp;B'!$E$260)</f>
        <v>2902</v>
      </c>
      <c r="AM18" s="50">
        <f>IF(T18="Gas",'C&amp;B'!$E$250,'C&amp;B'!$E$260)</f>
        <v>2902</v>
      </c>
      <c r="AO18" s="128">
        <v>1</v>
      </c>
      <c r="AP18" s="14">
        <f t="shared" si="8"/>
        <v>2747</v>
      </c>
      <c r="AQ18" s="14">
        <f t="shared" si="2"/>
        <v>2747</v>
      </c>
      <c r="AR18" s="14">
        <f t="shared" si="2"/>
        <v>2902</v>
      </c>
      <c r="AS18" s="14">
        <f t="shared" si="2"/>
        <v>2747</v>
      </c>
      <c r="AT18" s="14">
        <f t="shared" si="2"/>
        <v>2902</v>
      </c>
      <c r="AU18" s="14">
        <f t="shared" si="2"/>
        <v>2747</v>
      </c>
      <c r="AV18" s="14">
        <f t="shared" si="2"/>
        <v>2902</v>
      </c>
      <c r="AW18" s="14">
        <f t="shared" si="2"/>
        <v>2747</v>
      </c>
      <c r="AX18" s="14">
        <f t="shared" si="2"/>
        <v>2902</v>
      </c>
      <c r="AY18" s="14">
        <f t="shared" si="2"/>
        <v>2747</v>
      </c>
      <c r="AZ18" s="14">
        <f t="shared" si="2"/>
        <v>2902</v>
      </c>
      <c r="BA18" s="14">
        <f t="shared" si="2"/>
        <v>2747</v>
      </c>
      <c r="BB18" s="14">
        <f t="shared" si="2"/>
        <v>2902</v>
      </c>
      <c r="BC18" s="14">
        <f t="shared" si="2"/>
        <v>2747</v>
      </c>
      <c r="BD18" s="14">
        <f t="shared" si="2"/>
        <v>2902</v>
      </c>
      <c r="BE18" s="14">
        <f t="shared" si="2"/>
        <v>2902</v>
      </c>
      <c r="BF18" s="14">
        <f t="shared" si="2"/>
        <v>2902</v>
      </c>
    </row>
    <row r="19" spans="2:58">
      <c r="B19" s="59" t="s">
        <v>347</v>
      </c>
      <c r="C19" s="60" t="s">
        <v>345</v>
      </c>
      <c r="D19" s="52" t="str">
        <f>D18</f>
        <v>Gas</v>
      </c>
      <c r="E19" s="54" t="str">
        <f t="shared" ref="E19" si="43">E18</f>
        <v>Gas</v>
      </c>
      <c r="F19" s="54" t="str">
        <f t="shared" ref="F19:Q19" si="44">F18</f>
        <v>ASHP</v>
      </c>
      <c r="G19" s="54" t="str">
        <f t="shared" si="44"/>
        <v>Gas</v>
      </c>
      <c r="H19" s="54" t="str">
        <f t="shared" si="44"/>
        <v>ASHP</v>
      </c>
      <c r="I19" s="54" t="str">
        <f t="shared" si="44"/>
        <v>Gas</v>
      </c>
      <c r="J19" s="54" t="str">
        <f t="shared" si="44"/>
        <v>ASHP</v>
      </c>
      <c r="K19" s="54" t="str">
        <f t="shared" si="44"/>
        <v>Gas</v>
      </c>
      <c r="L19" s="54" t="str">
        <f t="shared" si="44"/>
        <v>ASHP</v>
      </c>
      <c r="M19" s="54" t="str">
        <f t="shared" si="44"/>
        <v>Gas</v>
      </c>
      <c r="N19" s="54" t="str">
        <f t="shared" si="44"/>
        <v>ASHP</v>
      </c>
      <c r="O19" s="54" t="str">
        <f t="shared" si="44"/>
        <v>Gas</v>
      </c>
      <c r="P19" s="54" t="str">
        <f t="shared" si="44"/>
        <v>ASHP</v>
      </c>
      <c r="Q19" s="54" t="str">
        <f t="shared" si="44"/>
        <v>Gas</v>
      </c>
      <c r="R19" s="54" t="str">
        <f t="shared" ref="R19:T19" si="45">R18</f>
        <v>ASHP</v>
      </c>
      <c r="S19" s="52" t="str">
        <f>S18</f>
        <v>ASHP</v>
      </c>
      <c r="T19" s="54" t="str">
        <f t="shared" si="45"/>
        <v>ASHP</v>
      </c>
      <c r="U19" s="50"/>
      <c r="V19" s="11" t="s">
        <v>699</v>
      </c>
      <c r="W19" s="50">
        <f>IF(D19="Gas",'C&amp;B'!$E$267,'C&amp;B'!$E$269)</f>
        <v>988</v>
      </c>
      <c r="X19" s="50">
        <f>IF(E19="Gas",'C&amp;B'!$E$267,'C&amp;B'!$E$269)</f>
        <v>988</v>
      </c>
      <c r="Y19" s="50">
        <f>IF(F19="Gas",'C&amp;B'!$E$267,'C&amp;B'!$E$269)</f>
        <v>85</v>
      </c>
      <c r="Z19" s="50">
        <f>IF(G19="Gas",'C&amp;B'!$E$267,'C&amp;B'!$E$269)</f>
        <v>988</v>
      </c>
      <c r="AA19" s="50">
        <f>IF(H19="Gas",'C&amp;B'!$E$267,'C&amp;B'!$E$269)</f>
        <v>85</v>
      </c>
      <c r="AB19" s="50">
        <f>IF(I19="Gas",'C&amp;B'!$E$267,'C&amp;B'!$E$269)</f>
        <v>988</v>
      </c>
      <c r="AC19" s="50">
        <f>IF(J19="Gas",'C&amp;B'!$E$267,'C&amp;B'!$E$269)</f>
        <v>85</v>
      </c>
      <c r="AD19" s="50">
        <f>IF(K19="Gas",'C&amp;B'!$E$267,'C&amp;B'!$E$269)</f>
        <v>988</v>
      </c>
      <c r="AE19" s="50">
        <f>IF(L19="Gas",'C&amp;B'!$E$267,'C&amp;B'!$E$269)</f>
        <v>85</v>
      </c>
      <c r="AF19" s="50">
        <f>IF(M19="Gas",'C&amp;B'!$E$267,'C&amp;B'!$E$269)</f>
        <v>988</v>
      </c>
      <c r="AG19" s="50">
        <f>IF(N19="Gas",'C&amp;B'!$E$267,'C&amp;B'!$E$269)</f>
        <v>85</v>
      </c>
      <c r="AH19" s="50">
        <f>IF(O19="Gas",'C&amp;B'!$E$267,'C&amp;B'!$E$269)</f>
        <v>988</v>
      </c>
      <c r="AI19" s="50">
        <f>IF(P19="Gas",'C&amp;B'!$E$267,'C&amp;B'!$E$269)</f>
        <v>85</v>
      </c>
      <c r="AJ19" s="50">
        <f>IF(Q19="Gas",'C&amp;B'!$E$267,'C&amp;B'!$E$269)</f>
        <v>988</v>
      </c>
      <c r="AK19" s="50">
        <f>IF(R19="Gas",'C&amp;B'!$E$267,'C&amp;B'!$E$269)</f>
        <v>85</v>
      </c>
      <c r="AL19" s="50">
        <f>IF(S19="Gas",'C&amp;B'!$E$267,'C&amp;B'!$E$269)</f>
        <v>85</v>
      </c>
      <c r="AM19" s="50">
        <f>IF(T19="Gas",'C&amp;B'!$E$267,'C&amp;B'!$E$269)</f>
        <v>85</v>
      </c>
      <c r="AO19" s="128">
        <v>1</v>
      </c>
      <c r="AP19" s="14">
        <f t="shared" si="8"/>
        <v>988</v>
      </c>
      <c r="AQ19" s="14">
        <f t="shared" si="2"/>
        <v>988</v>
      </c>
      <c r="AR19" s="14">
        <f t="shared" si="2"/>
        <v>85</v>
      </c>
      <c r="AS19" s="14">
        <f t="shared" si="2"/>
        <v>988</v>
      </c>
      <c r="AT19" s="14">
        <f t="shared" si="2"/>
        <v>85</v>
      </c>
      <c r="AU19" s="14">
        <f t="shared" si="2"/>
        <v>988</v>
      </c>
      <c r="AV19" s="14">
        <f t="shared" si="2"/>
        <v>85</v>
      </c>
      <c r="AW19" s="14">
        <f t="shared" si="2"/>
        <v>988</v>
      </c>
      <c r="AX19" s="14">
        <f t="shared" si="2"/>
        <v>85</v>
      </c>
      <c r="AY19" s="14">
        <f t="shared" si="2"/>
        <v>988</v>
      </c>
      <c r="AZ19" s="14">
        <f t="shared" si="2"/>
        <v>85</v>
      </c>
      <c r="BA19" s="14">
        <f t="shared" si="2"/>
        <v>988</v>
      </c>
      <c r="BB19" s="14">
        <f t="shared" si="2"/>
        <v>85</v>
      </c>
      <c r="BC19" s="14">
        <f t="shared" si="2"/>
        <v>988</v>
      </c>
      <c r="BD19" s="14">
        <f t="shared" si="2"/>
        <v>85</v>
      </c>
      <c r="BE19" s="14">
        <f t="shared" si="2"/>
        <v>85</v>
      </c>
      <c r="BF19" s="14">
        <f t="shared" ref="BF19:BF26" si="46">$AO19*AM19</f>
        <v>85</v>
      </c>
    </row>
    <row r="20" spans="2:58">
      <c r="B20" s="59" t="s">
        <v>349</v>
      </c>
      <c r="C20" s="60" t="s">
        <v>350</v>
      </c>
      <c r="D20" s="52" t="s">
        <v>365</v>
      </c>
      <c r="E20" s="54" t="s">
        <v>365</v>
      </c>
      <c r="F20" s="54" t="s">
        <v>365</v>
      </c>
      <c r="G20" s="54" t="s">
        <v>365</v>
      </c>
      <c r="H20" s="54" t="s">
        <v>365</v>
      </c>
      <c r="I20" s="54" t="s">
        <v>365</v>
      </c>
      <c r="J20" s="54" t="s">
        <v>365</v>
      </c>
      <c r="K20" s="54" t="s">
        <v>365</v>
      </c>
      <c r="L20" s="54" t="s">
        <v>365</v>
      </c>
      <c r="M20" s="54" t="s">
        <v>365</v>
      </c>
      <c r="N20" s="54" t="s">
        <v>365</v>
      </c>
      <c r="O20" s="54" t="s">
        <v>365</v>
      </c>
      <c r="P20" s="54" t="s">
        <v>365</v>
      </c>
      <c r="Q20" s="54" t="s">
        <v>365</v>
      </c>
      <c r="R20" s="54" t="s">
        <v>365</v>
      </c>
      <c r="S20" s="52" t="s">
        <v>365</v>
      </c>
      <c r="T20" s="54" t="s">
        <v>365</v>
      </c>
      <c r="U20" s="50"/>
      <c r="V20" s="11" t="s">
        <v>699</v>
      </c>
      <c r="W20" s="50">
        <f>IF(D20="Large",'C&amp;B'!$E$291,'C&amp;B'!$E$286)</f>
        <v>1350</v>
      </c>
      <c r="X20" s="50">
        <f>IF(E20="Large",'C&amp;B'!$E$291,'C&amp;B'!$E$286)</f>
        <v>1350</v>
      </c>
      <c r="Y20" s="50">
        <f>IF(F20="Large",'C&amp;B'!$E$291,'C&amp;B'!$E$286)</f>
        <v>1350</v>
      </c>
      <c r="Z20" s="50">
        <f>IF(G20="Large",'C&amp;B'!$E$291,'C&amp;B'!$E$286)</f>
        <v>1350</v>
      </c>
      <c r="AA20" s="50">
        <f>IF(H20="Large",'C&amp;B'!$E$291,'C&amp;B'!$E$286)</f>
        <v>1350</v>
      </c>
      <c r="AB20" s="50">
        <f>IF(I20="Large",'C&amp;B'!$E$291,'C&amp;B'!$E$286)</f>
        <v>1350</v>
      </c>
      <c r="AC20" s="50">
        <f>IF(J20="Large",'C&amp;B'!$E$291,'C&amp;B'!$E$286)</f>
        <v>1350</v>
      </c>
      <c r="AD20" s="50">
        <f>IF(K20="Large",'C&amp;B'!$E$291,'C&amp;B'!$E$286)</f>
        <v>1350</v>
      </c>
      <c r="AE20" s="50">
        <f>IF(L20="Large",'C&amp;B'!$E$291,'C&amp;B'!$E$286)</f>
        <v>1350</v>
      </c>
      <c r="AF20" s="50">
        <f>IF(M20="Large",'C&amp;B'!$E$291,'C&amp;B'!$E$286)</f>
        <v>1350</v>
      </c>
      <c r="AG20" s="50">
        <f>IF(N20="Large",'C&amp;B'!$E$291,'C&amp;B'!$E$286)</f>
        <v>1350</v>
      </c>
      <c r="AH20" s="50">
        <f>IF(O20="Large",'C&amp;B'!$E$291,'C&amp;B'!$E$286)</f>
        <v>1350</v>
      </c>
      <c r="AI20" s="50">
        <f>IF(P20="Large",'C&amp;B'!$E$291,'C&amp;B'!$E$286)</f>
        <v>1350</v>
      </c>
      <c r="AJ20" s="50">
        <f>IF(Q20="Large",'C&amp;B'!$E$291,'C&amp;B'!$E$286)</f>
        <v>1350</v>
      </c>
      <c r="AK20" s="50">
        <f>IF(R20="Large",'C&amp;B'!$E$291,'C&amp;B'!$E$286)</f>
        <v>1350</v>
      </c>
      <c r="AL20" s="50">
        <f>IF(S20="Large",'C&amp;B'!$E$291,'C&amp;B'!$E$286)</f>
        <v>1350</v>
      </c>
      <c r="AM20" s="50">
        <f>IF(T20="Large",'C&amp;B'!$E$291,'C&amp;B'!$E$286)</f>
        <v>1350</v>
      </c>
      <c r="AO20" s="128">
        <v>1</v>
      </c>
      <c r="AP20" s="14">
        <f t="shared" si="8"/>
        <v>1350</v>
      </c>
      <c r="AQ20" s="14">
        <f t="shared" ref="AQ20:AQ26" si="47">$AO20*X20</f>
        <v>1350</v>
      </c>
      <c r="AR20" s="14">
        <f t="shared" ref="AR20:AR26" si="48">$AO20*Y20</f>
        <v>1350</v>
      </c>
      <c r="AS20" s="14">
        <f t="shared" ref="AS20:AS26" si="49">$AO20*Z20</f>
        <v>1350</v>
      </c>
      <c r="AT20" s="14">
        <f t="shared" ref="AT20:AT26" si="50">$AO20*AA20</f>
        <v>1350</v>
      </c>
      <c r="AU20" s="14">
        <f t="shared" ref="AU20:AU26" si="51">$AO20*AB20</f>
        <v>1350</v>
      </c>
      <c r="AV20" s="14">
        <f t="shared" ref="AV20:AV26" si="52">$AO20*AC20</f>
        <v>1350</v>
      </c>
      <c r="AW20" s="14">
        <f t="shared" ref="AW20:AW26" si="53">$AO20*AD20</f>
        <v>1350</v>
      </c>
      <c r="AX20" s="14">
        <f t="shared" ref="AX20:AX26" si="54">$AO20*AE20</f>
        <v>1350</v>
      </c>
      <c r="AY20" s="14">
        <f t="shared" ref="AY20:AY26" si="55">$AO20*AF20</f>
        <v>1350</v>
      </c>
      <c r="AZ20" s="14">
        <f t="shared" ref="AZ20:AZ26" si="56">$AO20*AG20</f>
        <v>1350</v>
      </c>
      <c r="BA20" s="14">
        <f t="shared" ref="BA20:BA26" si="57">$AO20*AH20</f>
        <v>1350</v>
      </c>
      <c r="BB20" s="14">
        <f t="shared" ref="BB20:BB26" si="58">$AO20*AI20</f>
        <v>1350</v>
      </c>
      <c r="BC20" s="14">
        <f t="shared" ref="BC20:BC26" si="59">$AO20*AJ20</f>
        <v>1350</v>
      </c>
      <c r="BD20" s="14">
        <f t="shared" ref="BD20:BD26" si="60">$AO20*AK20</f>
        <v>1350</v>
      </c>
      <c r="BE20" s="14">
        <f t="shared" ref="BE20:BE26" si="61">$AO20*AL20</f>
        <v>1350</v>
      </c>
      <c r="BF20" s="14">
        <f t="shared" si="46"/>
        <v>1350</v>
      </c>
    </row>
    <row r="21" spans="2:58">
      <c r="B21" s="59" t="s">
        <v>352</v>
      </c>
      <c r="C21" s="60" t="s">
        <v>367</v>
      </c>
      <c r="D21" s="52" t="s">
        <v>368</v>
      </c>
      <c r="E21" s="53" t="s">
        <v>368</v>
      </c>
      <c r="F21" s="53" t="s">
        <v>368</v>
      </c>
      <c r="G21" s="53" t="s">
        <v>368</v>
      </c>
      <c r="H21" s="53" t="s">
        <v>368</v>
      </c>
      <c r="I21" s="53" t="s">
        <v>368</v>
      </c>
      <c r="J21" s="53" t="s">
        <v>368</v>
      </c>
      <c r="K21" s="53" t="s">
        <v>368</v>
      </c>
      <c r="L21" s="53" t="s">
        <v>368</v>
      </c>
      <c r="M21" s="53" t="s">
        <v>368</v>
      </c>
      <c r="N21" s="53" t="s">
        <v>368</v>
      </c>
      <c r="O21" s="53" t="s">
        <v>368</v>
      </c>
      <c r="P21" s="53" t="s">
        <v>368</v>
      </c>
      <c r="Q21" s="53" t="s">
        <v>368</v>
      </c>
      <c r="R21" s="53" t="s">
        <v>368</v>
      </c>
      <c r="S21" s="52" t="s">
        <v>368</v>
      </c>
      <c r="T21" s="53" t="s">
        <v>368</v>
      </c>
      <c r="U21" s="50"/>
      <c r="V21" s="138" t="s">
        <v>696</v>
      </c>
      <c r="W21" s="50">
        <v>0</v>
      </c>
      <c r="X21" s="50">
        <v>0</v>
      </c>
      <c r="Y21" s="50">
        <v>0</v>
      </c>
      <c r="Z21" s="50">
        <v>0</v>
      </c>
      <c r="AA21" s="50">
        <v>0</v>
      </c>
      <c r="AB21" s="50">
        <v>0</v>
      </c>
      <c r="AC21" s="50">
        <v>0</v>
      </c>
      <c r="AD21" s="50">
        <v>0</v>
      </c>
      <c r="AE21" s="50">
        <v>0</v>
      </c>
      <c r="AF21" s="50">
        <v>0</v>
      </c>
      <c r="AG21" s="50">
        <v>0</v>
      </c>
      <c r="AH21" s="50">
        <v>0</v>
      </c>
      <c r="AI21" s="50">
        <v>0</v>
      </c>
      <c r="AJ21" s="50">
        <v>0</v>
      </c>
      <c r="AK21" s="50">
        <v>0</v>
      </c>
      <c r="AL21" s="50">
        <v>0</v>
      </c>
      <c r="AM21" s="50">
        <v>0</v>
      </c>
      <c r="AO21" s="128">
        <v>1</v>
      </c>
      <c r="AP21" s="14">
        <f t="shared" si="8"/>
        <v>0</v>
      </c>
      <c r="AQ21" s="14">
        <f t="shared" si="47"/>
        <v>0</v>
      </c>
      <c r="AR21" s="14">
        <f t="shared" si="48"/>
        <v>0</v>
      </c>
      <c r="AS21" s="14">
        <f t="shared" si="49"/>
        <v>0</v>
      </c>
      <c r="AT21" s="14">
        <f t="shared" si="50"/>
        <v>0</v>
      </c>
      <c r="AU21" s="14">
        <f t="shared" si="51"/>
        <v>0</v>
      </c>
      <c r="AV21" s="14">
        <f t="shared" si="52"/>
        <v>0</v>
      </c>
      <c r="AW21" s="14">
        <f t="shared" si="53"/>
        <v>0</v>
      </c>
      <c r="AX21" s="14">
        <f t="shared" si="54"/>
        <v>0</v>
      </c>
      <c r="AY21" s="14">
        <f t="shared" si="55"/>
        <v>0</v>
      </c>
      <c r="AZ21" s="14">
        <f t="shared" si="56"/>
        <v>0</v>
      </c>
      <c r="BA21" s="14">
        <f t="shared" si="57"/>
        <v>0</v>
      </c>
      <c r="BB21" s="14">
        <f t="shared" si="58"/>
        <v>0</v>
      </c>
      <c r="BC21" s="14">
        <f t="shared" si="59"/>
        <v>0</v>
      </c>
      <c r="BD21" s="14">
        <f t="shared" si="60"/>
        <v>0</v>
      </c>
      <c r="BE21" s="14">
        <f t="shared" si="61"/>
        <v>0</v>
      </c>
      <c r="BF21" s="14">
        <f t="shared" si="46"/>
        <v>0</v>
      </c>
    </row>
    <row r="22" spans="2:58">
      <c r="B22" s="59" t="s">
        <v>353</v>
      </c>
      <c r="C22" s="60" t="s">
        <v>354</v>
      </c>
      <c r="D22" s="52" t="s">
        <v>366</v>
      </c>
      <c r="E22" s="53" t="s">
        <v>366</v>
      </c>
      <c r="F22" s="53" t="s">
        <v>366</v>
      </c>
      <c r="G22" s="53" t="s">
        <v>366</v>
      </c>
      <c r="H22" s="53" t="s">
        <v>366</v>
      </c>
      <c r="I22" s="53" t="s">
        <v>366</v>
      </c>
      <c r="J22" s="53" t="s">
        <v>366</v>
      </c>
      <c r="K22" s="53" t="s">
        <v>366</v>
      </c>
      <c r="L22" s="53" t="s">
        <v>366</v>
      </c>
      <c r="M22" s="53" t="s">
        <v>366</v>
      </c>
      <c r="N22" s="53" t="s">
        <v>366</v>
      </c>
      <c r="O22" s="53" t="s">
        <v>366</v>
      </c>
      <c r="P22" s="53" t="s">
        <v>366</v>
      </c>
      <c r="Q22" s="53" t="s">
        <v>366</v>
      </c>
      <c r="R22" s="53" t="s">
        <v>366</v>
      </c>
      <c r="S22" s="52" t="s">
        <v>366</v>
      </c>
      <c r="T22" s="53" t="s">
        <v>366</v>
      </c>
      <c r="U22" s="50"/>
      <c r="V22" s="138" t="s">
        <v>696</v>
      </c>
      <c r="W22" s="50">
        <v>0</v>
      </c>
      <c r="X22" s="50">
        <v>0</v>
      </c>
      <c r="Y22" s="50">
        <v>0</v>
      </c>
      <c r="Z22" s="50">
        <v>0</v>
      </c>
      <c r="AA22" s="50">
        <v>0</v>
      </c>
      <c r="AB22" s="50">
        <v>0</v>
      </c>
      <c r="AC22" s="50">
        <v>0</v>
      </c>
      <c r="AD22" s="50">
        <v>0</v>
      </c>
      <c r="AE22" s="50">
        <v>0</v>
      </c>
      <c r="AF22" s="50">
        <v>0</v>
      </c>
      <c r="AG22" s="50">
        <v>0</v>
      </c>
      <c r="AH22" s="50">
        <v>0</v>
      </c>
      <c r="AI22" s="50">
        <v>0</v>
      </c>
      <c r="AJ22" s="50">
        <v>0</v>
      </c>
      <c r="AK22" s="50">
        <v>0</v>
      </c>
      <c r="AL22" s="50">
        <v>0</v>
      </c>
      <c r="AM22" s="50">
        <v>0</v>
      </c>
      <c r="AO22" s="128">
        <v>1</v>
      </c>
      <c r="AP22" s="14">
        <f t="shared" si="8"/>
        <v>0</v>
      </c>
      <c r="AQ22" s="14">
        <f t="shared" si="47"/>
        <v>0</v>
      </c>
      <c r="AR22" s="14">
        <f t="shared" si="48"/>
        <v>0</v>
      </c>
      <c r="AS22" s="14">
        <f t="shared" si="49"/>
        <v>0</v>
      </c>
      <c r="AT22" s="14">
        <f t="shared" si="50"/>
        <v>0</v>
      </c>
      <c r="AU22" s="14">
        <f t="shared" si="51"/>
        <v>0</v>
      </c>
      <c r="AV22" s="14">
        <f t="shared" si="52"/>
        <v>0</v>
      </c>
      <c r="AW22" s="14">
        <f t="shared" si="53"/>
        <v>0</v>
      </c>
      <c r="AX22" s="14">
        <f t="shared" si="54"/>
        <v>0</v>
      </c>
      <c r="AY22" s="14">
        <f t="shared" si="55"/>
        <v>0</v>
      </c>
      <c r="AZ22" s="14">
        <f t="shared" si="56"/>
        <v>0</v>
      </c>
      <c r="BA22" s="14">
        <f t="shared" si="57"/>
        <v>0</v>
      </c>
      <c r="BB22" s="14">
        <f t="shared" si="58"/>
        <v>0</v>
      </c>
      <c r="BC22" s="14">
        <f t="shared" si="59"/>
        <v>0</v>
      </c>
      <c r="BD22" s="14">
        <f t="shared" si="60"/>
        <v>0</v>
      </c>
      <c r="BE22" s="14">
        <f t="shared" si="61"/>
        <v>0</v>
      </c>
      <c r="BF22" s="14">
        <f t="shared" si="46"/>
        <v>0</v>
      </c>
    </row>
    <row r="23" spans="2:58">
      <c r="B23" s="59" t="s">
        <v>355</v>
      </c>
      <c r="C23" s="60" t="s">
        <v>356</v>
      </c>
      <c r="D23" s="52" t="s">
        <v>366</v>
      </c>
      <c r="E23" s="53" t="s">
        <v>366</v>
      </c>
      <c r="F23" s="53" t="s">
        <v>366</v>
      </c>
      <c r="G23" s="53" t="s">
        <v>366</v>
      </c>
      <c r="H23" s="53" t="s">
        <v>366</v>
      </c>
      <c r="I23" s="53" t="s">
        <v>366</v>
      </c>
      <c r="J23" s="53" t="s">
        <v>366</v>
      </c>
      <c r="K23" s="53" t="s">
        <v>366</v>
      </c>
      <c r="L23" s="53" t="s">
        <v>366</v>
      </c>
      <c r="M23" s="53" t="s">
        <v>366</v>
      </c>
      <c r="N23" s="53" t="s">
        <v>366</v>
      </c>
      <c r="O23" s="53" t="s">
        <v>366</v>
      </c>
      <c r="P23" s="53" t="s">
        <v>366</v>
      </c>
      <c r="Q23" s="53" t="s">
        <v>366</v>
      </c>
      <c r="R23" s="53" t="s">
        <v>366</v>
      </c>
      <c r="S23" s="52" t="s">
        <v>366</v>
      </c>
      <c r="T23" s="53" t="s">
        <v>366</v>
      </c>
      <c r="U23" s="50"/>
      <c r="V23" s="138" t="s">
        <v>696</v>
      </c>
      <c r="W23" s="50">
        <v>0</v>
      </c>
      <c r="X23" s="50">
        <v>0</v>
      </c>
      <c r="Y23" s="50">
        <v>0</v>
      </c>
      <c r="Z23" s="50">
        <v>0</v>
      </c>
      <c r="AA23" s="50">
        <v>0</v>
      </c>
      <c r="AB23" s="50">
        <v>0</v>
      </c>
      <c r="AC23" s="50">
        <v>0</v>
      </c>
      <c r="AD23" s="50">
        <v>0</v>
      </c>
      <c r="AE23" s="50">
        <v>0</v>
      </c>
      <c r="AF23" s="50">
        <v>0</v>
      </c>
      <c r="AG23" s="50">
        <v>0</v>
      </c>
      <c r="AH23" s="50">
        <v>0</v>
      </c>
      <c r="AI23" s="50">
        <v>0</v>
      </c>
      <c r="AJ23" s="50">
        <v>0</v>
      </c>
      <c r="AK23" s="50">
        <v>0</v>
      </c>
      <c r="AL23" s="50">
        <v>0</v>
      </c>
      <c r="AM23" s="50">
        <v>0</v>
      </c>
      <c r="AO23" s="128">
        <v>1</v>
      </c>
      <c r="AP23" s="14">
        <f t="shared" si="8"/>
        <v>0</v>
      </c>
      <c r="AQ23" s="14">
        <f t="shared" si="47"/>
        <v>0</v>
      </c>
      <c r="AR23" s="14">
        <f t="shared" si="48"/>
        <v>0</v>
      </c>
      <c r="AS23" s="14">
        <f t="shared" si="49"/>
        <v>0</v>
      </c>
      <c r="AT23" s="14">
        <f t="shared" si="50"/>
        <v>0</v>
      </c>
      <c r="AU23" s="14">
        <f t="shared" si="51"/>
        <v>0</v>
      </c>
      <c r="AV23" s="14">
        <f t="shared" si="52"/>
        <v>0</v>
      </c>
      <c r="AW23" s="14">
        <f t="shared" si="53"/>
        <v>0</v>
      </c>
      <c r="AX23" s="14">
        <f t="shared" si="54"/>
        <v>0</v>
      </c>
      <c r="AY23" s="14">
        <f t="shared" si="55"/>
        <v>0</v>
      </c>
      <c r="AZ23" s="14">
        <f t="shared" si="56"/>
        <v>0</v>
      </c>
      <c r="BA23" s="14">
        <f t="shared" si="57"/>
        <v>0</v>
      </c>
      <c r="BB23" s="14">
        <f t="shared" si="58"/>
        <v>0</v>
      </c>
      <c r="BC23" s="14">
        <f t="shared" si="59"/>
        <v>0</v>
      </c>
      <c r="BD23" s="14">
        <f t="shared" si="60"/>
        <v>0</v>
      </c>
      <c r="BE23" s="14">
        <f t="shared" si="61"/>
        <v>0</v>
      </c>
      <c r="BF23" s="14">
        <f t="shared" si="46"/>
        <v>0</v>
      </c>
    </row>
    <row r="24" spans="2:58">
      <c r="B24" s="59" t="s">
        <v>357</v>
      </c>
      <c r="C24" s="60" t="s">
        <v>358</v>
      </c>
      <c r="D24" s="52" t="s">
        <v>369</v>
      </c>
      <c r="E24" s="98" t="s">
        <v>366</v>
      </c>
      <c r="F24" s="98" t="s">
        <v>366</v>
      </c>
      <c r="G24" s="98" t="s">
        <v>366</v>
      </c>
      <c r="H24" s="98" t="s">
        <v>366</v>
      </c>
      <c r="I24" s="98" t="s">
        <v>366</v>
      </c>
      <c r="J24" s="98" t="s">
        <v>366</v>
      </c>
      <c r="K24" s="98" t="s">
        <v>366</v>
      </c>
      <c r="L24" s="98" t="s">
        <v>366</v>
      </c>
      <c r="M24" s="98" t="s">
        <v>366</v>
      </c>
      <c r="N24" s="98" t="s">
        <v>366</v>
      </c>
      <c r="O24" s="98" t="s">
        <v>366</v>
      </c>
      <c r="P24" s="98" t="s">
        <v>366</v>
      </c>
      <c r="Q24" s="98" t="s">
        <v>366</v>
      </c>
      <c r="R24" s="98" t="s">
        <v>366</v>
      </c>
      <c r="S24" s="52" t="s">
        <v>366</v>
      </c>
      <c r="T24" s="134" t="str">
        <f>INPUT!C35</f>
        <v>None</v>
      </c>
      <c r="U24" s="50"/>
      <c r="V24" s="11" t="s">
        <v>699</v>
      </c>
      <c r="W24" s="50">
        <f>IF(D24="Yes",'C&amp;B'!$E$313,0)</f>
        <v>400</v>
      </c>
      <c r="X24" s="50">
        <f>IF(E24="Yes",'C&amp;B'!$E$313,0)</f>
        <v>0</v>
      </c>
      <c r="Y24" s="50">
        <f>IF(F24="Yes",'C&amp;B'!$E$313,0)</f>
        <v>0</v>
      </c>
      <c r="Z24" s="50">
        <f>IF(G24="Yes",'C&amp;B'!$E$313,0)</f>
        <v>0</v>
      </c>
      <c r="AA24" s="50">
        <f>IF(H24="Yes",'C&amp;B'!$E$313,0)</f>
        <v>0</v>
      </c>
      <c r="AB24" s="50">
        <f>IF(I24="Yes",'C&amp;B'!$E$313,0)</f>
        <v>0</v>
      </c>
      <c r="AC24" s="50">
        <f>IF(J24="Yes",'C&amp;B'!$E$313,0)</f>
        <v>0</v>
      </c>
      <c r="AD24" s="50">
        <f>IF(K24="Yes",'C&amp;B'!$E$313,0)</f>
        <v>0</v>
      </c>
      <c r="AE24" s="50">
        <f>IF(L24="Yes",'C&amp;B'!$E$313,0)</f>
        <v>0</v>
      </c>
      <c r="AF24" s="50">
        <f>IF(M24="Yes",'C&amp;B'!$E$313,0)</f>
        <v>0</v>
      </c>
      <c r="AG24" s="50">
        <f>IF(N24="Yes",'C&amp;B'!$E$313,0)</f>
        <v>0</v>
      </c>
      <c r="AH24" s="50">
        <f>IF(O24="Yes",'C&amp;B'!$E$313,0)</f>
        <v>0</v>
      </c>
      <c r="AI24" s="50">
        <f>IF(P24="Yes",'C&amp;B'!$E$313,0)</f>
        <v>0</v>
      </c>
      <c r="AJ24" s="50">
        <f>IF(Q24="Yes",'C&amp;B'!$E$313,0)</f>
        <v>0</v>
      </c>
      <c r="AK24" s="50">
        <f>IF(R24="Yes",'C&amp;B'!$E$313,0)</f>
        <v>0</v>
      </c>
      <c r="AL24" s="50">
        <f>IF(S24="Yes",'C&amp;B'!$E$313,0)</f>
        <v>0</v>
      </c>
      <c r="AM24" s="50">
        <f>IF(T24="Yes",'C&amp;B'!$E$313,0)</f>
        <v>0</v>
      </c>
      <c r="AO24" s="128">
        <v>1</v>
      </c>
      <c r="AP24" s="14">
        <f t="shared" si="8"/>
        <v>400</v>
      </c>
      <c r="AQ24" s="14">
        <f t="shared" si="47"/>
        <v>0</v>
      </c>
      <c r="AR24" s="14">
        <f t="shared" si="48"/>
        <v>0</v>
      </c>
      <c r="AS24" s="14">
        <f t="shared" si="49"/>
        <v>0</v>
      </c>
      <c r="AT24" s="14">
        <f t="shared" si="50"/>
        <v>0</v>
      </c>
      <c r="AU24" s="14">
        <f t="shared" si="51"/>
        <v>0</v>
      </c>
      <c r="AV24" s="14">
        <f t="shared" si="52"/>
        <v>0</v>
      </c>
      <c r="AW24" s="14">
        <f t="shared" si="53"/>
        <v>0</v>
      </c>
      <c r="AX24" s="14">
        <f t="shared" si="54"/>
        <v>0</v>
      </c>
      <c r="AY24" s="14">
        <f t="shared" si="55"/>
        <v>0</v>
      </c>
      <c r="AZ24" s="14">
        <f t="shared" si="56"/>
        <v>0</v>
      </c>
      <c r="BA24" s="14">
        <f t="shared" si="57"/>
        <v>0</v>
      </c>
      <c r="BB24" s="14">
        <f t="shared" si="58"/>
        <v>0</v>
      </c>
      <c r="BC24" s="14">
        <f t="shared" si="59"/>
        <v>0</v>
      </c>
      <c r="BD24" s="14">
        <f t="shared" si="60"/>
        <v>0</v>
      </c>
      <c r="BE24" s="14">
        <f t="shared" si="61"/>
        <v>0</v>
      </c>
      <c r="BF24" s="14">
        <f t="shared" si="46"/>
        <v>0</v>
      </c>
    </row>
    <row r="25" spans="2:58">
      <c r="B25" s="59" t="s">
        <v>370</v>
      </c>
      <c r="C25" s="60" t="s">
        <v>19</v>
      </c>
      <c r="D25" s="52">
        <v>80</v>
      </c>
      <c r="E25" s="54">
        <f>D25</f>
        <v>80</v>
      </c>
      <c r="F25" s="54">
        <f t="shared" ref="F25:T25" si="62">E25</f>
        <v>80</v>
      </c>
      <c r="G25" s="54">
        <f t="shared" si="62"/>
        <v>80</v>
      </c>
      <c r="H25" s="54">
        <f t="shared" si="62"/>
        <v>80</v>
      </c>
      <c r="I25" s="54">
        <f t="shared" si="62"/>
        <v>80</v>
      </c>
      <c r="J25" s="54">
        <f t="shared" si="62"/>
        <v>80</v>
      </c>
      <c r="K25" s="54">
        <f t="shared" si="62"/>
        <v>80</v>
      </c>
      <c r="L25" s="54">
        <f t="shared" si="62"/>
        <v>80</v>
      </c>
      <c r="M25" s="54">
        <f t="shared" si="62"/>
        <v>80</v>
      </c>
      <c r="N25" s="54">
        <f t="shared" si="62"/>
        <v>80</v>
      </c>
      <c r="O25" s="54">
        <f t="shared" si="62"/>
        <v>80</v>
      </c>
      <c r="P25" s="54">
        <f t="shared" si="62"/>
        <v>80</v>
      </c>
      <c r="Q25" s="54">
        <f t="shared" si="62"/>
        <v>80</v>
      </c>
      <c r="R25" s="54">
        <f t="shared" si="62"/>
        <v>80</v>
      </c>
      <c r="S25" s="54">
        <f t="shared" si="62"/>
        <v>80</v>
      </c>
      <c r="T25" s="54">
        <f t="shared" si="62"/>
        <v>80</v>
      </c>
      <c r="U25" s="50"/>
      <c r="V25" s="138" t="s">
        <v>696</v>
      </c>
      <c r="W25" s="50">
        <v>0</v>
      </c>
      <c r="X25" s="50">
        <v>0</v>
      </c>
      <c r="Y25" s="50">
        <v>0</v>
      </c>
      <c r="Z25" s="50">
        <v>0</v>
      </c>
      <c r="AA25" s="50">
        <v>0</v>
      </c>
      <c r="AB25" s="50">
        <v>0</v>
      </c>
      <c r="AC25" s="50">
        <v>0</v>
      </c>
      <c r="AD25" s="50">
        <v>0</v>
      </c>
      <c r="AE25" s="50">
        <v>0</v>
      </c>
      <c r="AF25" s="50">
        <v>0</v>
      </c>
      <c r="AG25" s="50">
        <v>0</v>
      </c>
      <c r="AH25" s="50">
        <v>0</v>
      </c>
      <c r="AI25" s="50">
        <v>0</v>
      </c>
      <c r="AJ25" s="50">
        <v>0</v>
      </c>
      <c r="AK25" s="50">
        <v>0</v>
      </c>
      <c r="AL25" s="50">
        <v>0</v>
      </c>
      <c r="AM25" s="50">
        <v>0</v>
      </c>
      <c r="AO25" s="128">
        <v>1</v>
      </c>
      <c r="AP25" s="14">
        <f t="shared" si="8"/>
        <v>0</v>
      </c>
      <c r="AQ25" s="14">
        <f t="shared" si="47"/>
        <v>0</v>
      </c>
      <c r="AR25" s="14">
        <f t="shared" si="48"/>
        <v>0</v>
      </c>
      <c r="AS25" s="14">
        <f t="shared" si="49"/>
        <v>0</v>
      </c>
      <c r="AT25" s="14">
        <f t="shared" si="50"/>
        <v>0</v>
      </c>
      <c r="AU25" s="14">
        <f t="shared" si="51"/>
        <v>0</v>
      </c>
      <c r="AV25" s="14">
        <f t="shared" si="52"/>
        <v>0</v>
      </c>
      <c r="AW25" s="14">
        <f t="shared" si="53"/>
        <v>0</v>
      </c>
      <c r="AX25" s="14">
        <f t="shared" si="54"/>
        <v>0</v>
      </c>
      <c r="AY25" s="14">
        <f t="shared" si="55"/>
        <v>0</v>
      </c>
      <c r="AZ25" s="14">
        <f t="shared" si="56"/>
        <v>0</v>
      </c>
      <c r="BA25" s="14">
        <f t="shared" si="57"/>
        <v>0</v>
      </c>
      <c r="BB25" s="14">
        <f t="shared" si="58"/>
        <v>0</v>
      </c>
      <c r="BC25" s="14">
        <f t="shared" si="59"/>
        <v>0</v>
      </c>
      <c r="BD25" s="14">
        <f t="shared" si="60"/>
        <v>0</v>
      </c>
      <c r="BE25" s="14">
        <f t="shared" si="61"/>
        <v>0</v>
      </c>
      <c r="BF25" s="14">
        <f t="shared" si="46"/>
        <v>0</v>
      </c>
    </row>
    <row r="26" spans="2:58">
      <c r="B26" s="59" t="s">
        <v>371</v>
      </c>
      <c r="C26" s="60" t="s">
        <v>79</v>
      </c>
      <c r="D26" s="62">
        <f>SAP!C147</f>
        <v>3.6246153846153848</v>
      </c>
      <c r="E26" s="54">
        <v>0</v>
      </c>
      <c r="F26" s="54">
        <v>0</v>
      </c>
      <c r="G26" s="54">
        <v>0</v>
      </c>
      <c r="H26" s="54">
        <v>0</v>
      </c>
      <c r="I26" s="54">
        <v>0</v>
      </c>
      <c r="J26" s="54">
        <v>0</v>
      </c>
      <c r="K26" s="54">
        <v>0</v>
      </c>
      <c r="L26" s="54">
        <v>0</v>
      </c>
      <c r="M26" s="54">
        <v>0</v>
      </c>
      <c r="N26" s="54">
        <v>0</v>
      </c>
      <c r="O26" s="54">
        <v>0</v>
      </c>
      <c r="P26" s="54">
        <v>0</v>
      </c>
      <c r="Q26" s="54">
        <v>0</v>
      </c>
      <c r="R26" s="54">
        <v>0</v>
      </c>
      <c r="S26" s="52">
        <v>0</v>
      </c>
      <c r="T26" s="134">
        <f>INPUT!C36</f>
        <v>0</v>
      </c>
      <c r="U26" s="50"/>
      <c r="V26" s="138" t="s">
        <v>699</v>
      </c>
      <c r="W26" s="143">
        <f>IF(D26=0,0,IF(D26&lt;4,'C&amp;B'!$E$316+(D26*'C&amp;B'!$E$317),D26*'C&amp;B'!$E$318))</f>
        <v>3274.7692307692309</v>
      </c>
      <c r="X26" s="143">
        <f>IF(E26=0,0,IF(E26&lt;4,'C&amp;B'!$E$316+(E26*'C&amp;B'!$E$317),E26*'C&amp;B'!$E$318))</f>
        <v>0</v>
      </c>
      <c r="Y26" s="143">
        <f>IF(F26=0,0,IF(F26&lt;4,'C&amp;B'!$E$316+(F26*'C&amp;B'!$E$317),F26*'C&amp;B'!$E$318))</f>
        <v>0</v>
      </c>
      <c r="Z26" s="143">
        <f>IF(G26=0,0,IF(G26&lt;4,'C&amp;B'!$E$316+(G26*'C&amp;B'!$E$317),G26*'C&amp;B'!$E$318))</f>
        <v>0</v>
      </c>
      <c r="AA26" s="143">
        <f>IF(H26=0,0,IF(H26&lt;4,'C&amp;B'!$E$316+(H26*'C&amp;B'!$E$317),H26*'C&amp;B'!$E$318))</f>
        <v>0</v>
      </c>
      <c r="AB26" s="143">
        <f>IF(I26=0,0,IF(I26&lt;4,'C&amp;B'!$E$316+(I26*'C&amp;B'!$E$317),I26*'C&amp;B'!$E$318))</f>
        <v>0</v>
      </c>
      <c r="AC26" s="143">
        <f>IF(J26=0,0,IF(J26&lt;4,'C&amp;B'!$E$316+(J26*'C&amp;B'!$E$317),J26*'C&amp;B'!$E$318))</f>
        <v>0</v>
      </c>
      <c r="AD26" s="143">
        <f>IF(K26=0,0,IF(K26&lt;4,'C&amp;B'!$E$316+(K26*'C&amp;B'!$E$317),K26*'C&amp;B'!$E$318))</f>
        <v>0</v>
      </c>
      <c r="AE26" s="143">
        <f>IF(L26=0,0,IF(L26&lt;4,'C&amp;B'!$E$316+(L26*'C&amp;B'!$E$317),L26*'C&amp;B'!$E$318))</f>
        <v>0</v>
      </c>
      <c r="AF26" s="143">
        <f>IF(M26=0,0,IF(M26&lt;4,'C&amp;B'!$E$316+(M26*'C&amp;B'!$E$317),M26*'C&amp;B'!$E$318))</f>
        <v>0</v>
      </c>
      <c r="AG26" s="143">
        <f>IF(N26=0,0,IF(N26&lt;4,'C&amp;B'!$E$316+(N26*'C&amp;B'!$E$317),N26*'C&amp;B'!$E$318))</f>
        <v>0</v>
      </c>
      <c r="AH26" s="143">
        <f>IF(O26=0,0,IF(O26&lt;4,'C&amp;B'!$E$316+(O26*'C&amp;B'!$E$317),O26*'C&amp;B'!$E$318))</f>
        <v>0</v>
      </c>
      <c r="AI26" s="143">
        <f>IF(P26=0,0,IF(P26&lt;4,'C&amp;B'!$E$316+(P26*'C&amp;B'!$E$317),P26*'C&amp;B'!$E$318))</f>
        <v>0</v>
      </c>
      <c r="AJ26" s="143">
        <f>IF(Q26=0,0,IF(Q26&lt;4,'C&amp;B'!$E$316+(Q26*'C&amp;B'!$E$317),Q26*'C&amp;B'!$E$318))</f>
        <v>0</v>
      </c>
      <c r="AK26" s="143">
        <f>IF(R26=0,0,IF(R26&lt;4,'C&amp;B'!$E$316+(R26*'C&amp;B'!$E$317),R26*'C&amp;B'!$E$318))</f>
        <v>0</v>
      </c>
      <c r="AL26" s="143">
        <f>IF(S26=0,0,IF(S26&lt;4,'C&amp;B'!$E$316+(S26*'C&amp;B'!$E$317),S26*'C&amp;B'!$E$318))</f>
        <v>0</v>
      </c>
      <c r="AM26" s="143">
        <f>IF(T26=0,0,IF(T26&lt;4,'C&amp;B'!$E$316+(T26*'C&amp;B'!$E$317),T26*'C&amp;B'!$E$318))</f>
        <v>0</v>
      </c>
      <c r="AO26" s="128">
        <v>1</v>
      </c>
      <c r="AP26" s="14">
        <f t="shared" si="8"/>
        <v>3274.7692307692309</v>
      </c>
      <c r="AQ26" s="14">
        <f t="shared" si="47"/>
        <v>0</v>
      </c>
      <c r="AR26" s="14">
        <f t="shared" si="48"/>
        <v>0</v>
      </c>
      <c r="AS26" s="14">
        <f t="shared" si="49"/>
        <v>0</v>
      </c>
      <c r="AT26" s="14">
        <f t="shared" si="50"/>
        <v>0</v>
      </c>
      <c r="AU26" s="14">
        <f t="shared" si="51"/>
        <v>0</v>
      </c>
      <c r="AV26" s="14">
        <f t="shared" si="52"/>
        <v>0</v>
      </c>
      <c r="AW26" s="14">
        <f t="shared" si="53"/>
        <v>0</v>
      </c>
      <c r="AX26" s="14">
        <f t="shared" si="54"/>
        <v>0</v>
      </c>
      <c r="AY26" s="14">
        <f t="shared" si="55"/>
        <v>0</v>
      </c>
      <c r="AZ26" s="14">
        <f t="shared" si="56"/>
        <v>0</v>
      </c>
      <c r="BA26" s="14">
        <f t="shared" si="57"/>
        <v>0</v>
      </c>
      <c r="BB26" s="14">
        <f t="shared" si="58"/>
        <v>0</v>
      </c>
      <c r="BC26" s="14">
        <f t="shared" si="59"/>
        <v>0</v>
      </c>
      <c r="BD26" s="14">
        <f t="shared" si="60"/>
        <v>0</v>
      </c>
      <c r="BE26" s="14">
        <f t="shared" si="61"/>
        <v>0</v>
      </c>
      <c r="BF26" s="14">
        <f t="shared" si="46"/>
        <v>0</v>
      </c>
    </row>
    <row r="27" spans="2:58">
      <c r="B27" s="59" t="s">
        <v>373</v>
      </c>
      <c r="C27" s="60" t="s">
        <v>450</v>
      </c>
      <c r="D27" s="69">
        <f>D87</f>
        <v>42.437689069999969</v>
      </c>
      <c r="E27" s="53">
        <f>'C&amp;B'!C111</f>
        <v>43.74</v>
      </c>
      <c r="F27" s="53">
        <f>E27</f>
        <v>43.74</v>
      </c>
      <c r="G27" s="53">
        <f>'C&amp;B'!C112</f>
        <v>34.840000000000003</v>
      </c>
      <c r="H27" s="53">
        <f>G27</f>
        <v>34.840000000000003</v>
      </c>
      <c r="I27" s="53">
        <f>'C&amp;B'!C113</f>
        <v>34.68</v>
      </c>
      <c r="J27" s="53">
        <f>I27</f>
        <v>34.68</v>
      </c>
      <c r="K27" s="53">
        <f>'C&amp;B'!C114</f>
        <v>29.52</v>
      </c>
      <c r="L27" s="53">
        <f>K27</f>
        <v>29.52</v>
      </c>
      <c r="M27" s="53">
        <f>'C&amp;B'!C115</f>
        <v>24.71</v>
      </c>
      <c r="N27" s="53">
        <f>M27</f>
        <v>24.71</v>
      </c>
      <c r="O27" s="53">
        <f>'C&amp;B'!C116</f>
        <v>19.73</v>
      </c>
      <c r="P27" s="53">
        <f>O27</f>
        <v>19.73</v>
      </c>
      <c r="Q27" s="53">
        <f>'C&amp;B'!C117</f>
        <v>14.85</v>
      </c>
      <c r="R27" s="53">
        <f>Q27</f>
        <v>14.85</v>
      </c>
      <c r="S27" s="69">
        <f>L87</f>
        <v>39.828395642299988</v>
      </c>
      <c r="T27" s="69">
        <f>M87</f>
        <v>42.97997541279998</v>
      </c>
      <c r="U27" s="50"/>
      <c r="V27" s="138"/>
      <c r="W27" s="50"/>
      <c r="X27" s="50"/>
      <c r="AO27" t="s">
        <v>501</v>
      </c>
      <c r="AP27" s="14">
        <f>SUM(AP4:AP26)</f>
        <v>74642.169230769228</v>
      </c>
      <c r="AQ27" s="14">
        <f t="shared" ref="AQ27:BF27" si="63">SUM(AQ4:AQ26)</f>
        <v>69932.600000000006</v>
      </c>
      <c r="AR27" s="14">
        <f t="shared" si="63"/>
        <v>70640.600000000006</v>
      </c>
      <c r="AS27" s="14">
        <f t="shared" si="63"/>
        <v>73305.799999999988</v>
      </c>
      <c r="AT27" s="14">
        <f t="shared" si="63"/>
        <v>74013.799999999988</v>
      </c>
      <c r="AU27" s="14">
        <f t="shared" si="63"/>
        <v>71454</v>
      </c>
      <c r="AV27" s="14">
        <f t="shared" si="63"/>
        <v>72162</v>
      </c>
      <c r="AW27" s="14">
        <f t="shared" si="63"/>
        <v>73144.899999999994</v>
      </c>
      <c r="AX27" s="14">
        <f t="shared" si="63"/>
        <v>73852.899999999994</v>
      </c>
      <c r="AY27" s="14">
        <f t="shared" si="63"/>
        <v>75185.799999999988</v>
      </c>
      <c r="AZ27" s="14">
        <f t="shared" si="63"/>
        <v>75893.799999999988</v>
      </c>
      <c r="BA27" s="14">
        <f t="shared" si="63"/>
        <v>75186.799999999988</v>
      </c>
      <c r="BB27" s="14">
        <f t="shared" si="63"/>
        <v>75894.799999999988</v>
      </c>
      <c r="BC27" s="14">
        <f t="shared" si="63"/>
        <v>76126.600000000006</v>
      </c>
      <c r="BD27" s="14">
        <f t="shared" si="63"/>
        <v>76834.600000000006</v>
      </c>
      <c r="BE27" s="14">
        <f t="shared" si="63"/>
        <v>74010.799999999988</v>
      </c>
      <c r="BF27" s="14">
        <f t="shared" si="63"/>
        <v>70640.600000000006</v>
      </c>
    </row>
    <row r="28" spans="2:58">
      <c r="B28" s="59" t="s">
        <v>374</v>
      </c>
      <c r="C28" s="60" t="s">
        <v>450</v>
      </c>
      <c r="D28" s="73">
        <f>E28-SAP!C103</f>
        <v>15.123123945593511</v>
      </c>
      <c r="E28" s="53">
        <f>'C&amp;B'!D111</f>
        <v>18.82</v>
      </c>
      <c r="F28" s="53">
        <f>'C&amp;B'!D118</f>
        <v>18.47</v>
      </c>
      <c r="G28" s="53">
        <f>'C&amp;B'!D112</f>
        <v>18.57</v>
      </c>
      <c r="H28" s="53">
        <f>'C&amp;B'!D119</f>
        <v>19.02</v>
      </c>
      <c r="I28" s="53">
        <f>'C&amp;B'!D113</f>
        <v>18.47</v>
      </c>
      <c r="J28" s="53">
        <f>'C&amp;B'!D120</f>
        <v>18.47</v>
      </c>
      <c r="K28" s="53">
        <f>'C&amp;B'!D114</f>
        <v>18.47</v>
      </c>
      <c r="L28" s="53">
        <f>'C&amp;B'!D121</f>
        <v>18.47</v>
      </c>
      <c r="M28" s="53">
        <f>'C&amp;B'!D115</f>
        <v>18.47</v>
      </c>
      <c r="N28" s="53">
        <f>'C&amp;B'!D122</f>
        <v>18.47</v>
      </c>
      <c r="O28" s="53">
        <f>'C&amp;B'!D116</f>
        <v>18.47</v>
      </c>
      <c r="P28" s="53">
        <f>'C&amp;B'!D123</f>
        <v>18.47</v>
      </c>
      <c r="Q28" s="53">
        <f>'C&amp;B'!D117</f>
        <v>18.47</v>
      </c>
      <c r="R28" s="53">
        <f>'C&amp;B'!D124</f>
        <v>18.47</v>
      </c>
      <c r="S28" s="54">
        <f>R28</f>
        <v>18.47</v>
      </c>
      <c r="T28" s="54">
        <f>S28</f>
        <v>18.47</v>
      </c>
      <c r="U28" s="50"/>
      <c r="V28" s="138"/>
      <c r="W28" s="50"/>
      <c r="X28" s="50"/>
      <c r="AO28" t="s">
        <v>704</v>
      </c>
      <c r="AP28" s="14">
        <f>AP27-$AP$27</f>
        <v>0</v>
      </c>
      <c r="AQ28" s="14">
        <f t="shared" ref="AQ28:BF28" si="64">AQ27-$AP$27</f>
        <v>-4709.5692307692225</v>
      </c>
      <c r="AR28" s="14">
        <f t="shared" si="64"/>
        <v>-4001.5692307692225</v>
      </c>
      <c r="AS28" s="14">
        <f t="shared" si="64"/>
        <v>-1336.3692307692399</v>
      </c>
      <c r="AT28" s="14">
        <f t="shared" si="64"/>
        <v>-628.36923076923995</v>
      </c>
      <c r="AU28" s="14">
        <f t="shared" si="64"/>
        <v>-3188.1692307692283</v>
      </c>
      <c r="AV28" s="14">
        <f t="shared" si="64"/>
        <v>-2480.1692307692283</v>
      </c>
      <c r="AW28" s="14">
        <f t="shared" si="64"/>
        <v>-1497.2692307692341</v>
      </c>
      <c r="AX28" s="14">
        <f t="shared" si="64"/>
        <v>-789.26923076923413</v>
      </c>
      <c r="AY28" s="14">
        <f t="shared" si="64"/>
        <v>543.63076923076005</v>
      </c>
      <c r="AZ28" s="14">
        <f t="shared" si="64"/>
        <v>1251.6307692307601</v>
      </c>
      <c r="BA28" s="14">
        <f t="shared" si="64"/>
        <v>544.63076923076005</v>
      </c>
      <c r="BB28" s="14">
        <f t="shared" si="64"/>
        <v>1252.6307692307601</v>
      </c>
      <c r="BC28" s="14">
        <f t="shared" si="64"/>
        <v>1484.4307692307775</v>
      </c>
      <c r="BD28" s="14">
        <f t="shared" si="64"/>
        <v>2192.4307692307775</v>
      </c>
      <c r="BE28" s="14">
        <f t="shared" si="64"/>
        <v>-631.36923076923995</v>
      </c>
      <c r="BF28" s="14">
        <f t="shared" si="64"/>
        <v>-4001.5692307692225</v>
      </c>
    </row>
    <row r="29" spans="2:58">
      <c r="B29" s="59" t="s">
        <v>375</v>
      </c>
      <c r="C29" s="60" t="s">
        <v>450</v>
      </c>
      <c r="D29" s="73">
        <f>D27/D16</f>
        <v>47.416412368715051</v>
      </c>
      <c r="E29" s="73">
        <f t="shared" ref="E29:T29" si="65">E27/E16</f>
        <v>48.871508379888269</v>
      </c>
      <c r="F29" s="73">
        <f t="shared" si="65"/>
        <v>12.864705882352947</v>
      </c>
      <c r="G29" s="73">
        <f t="shared" si="65"/>
        <v>38.927374301675982</v>
      </c>
      <c r="H29" s="73">
        <f t="shared" si="65"/>
        <v>10.247058823529416</v>
      </c>
      <c r="I29" s="73">
        <f t="shared" si="65"/>
        <v>38.748603351955303</v>
      </c>
      <c r="J29" s="73">
        <f t="shared" si="65"/>
        <v>10.200000000000005</v>
      </c>
      <c r="K29" s="73">
        <f t="shared" si="65"/>
        <v>32.983240223463689</v>
      </c>
      <c r="L29" s="73">
        <f t="shared" si="65"/>
        <v>8.6823529411764735</v>
      </c>
      <c r="M29" s="73">
        <f t="shared" si="65"/>
        <v>27.608938547486034</v>
      </c>
      <c r="N29" s="73">
        <f t="shared" si="65"/>
        <v>7.2676470588235329</v>
      </c>
      <c r="O29" s="73">
        <f t="shared" si="65"/>
        <v>22.044692737430168</v>
      </c>
      <c r="P29" s="73">
        <f t="shared" si="65"/>
        <v>5.8029411764705907</v>
      </c>
      <c r="Q29" s="73">
        <f t="shared" si="65"/>
        <v>16.592178770949719</v>
      </c>
      <c r="R29" s="73">
        <f t="shared" si="65"/>
        <v>4.3676470588235308</v>
      </c>
      <c r="S29" s="73">
        <f t="shared" si="65"/>
        <v>11.714234012441178</v>
      </c>
      <c r="T29" s="73">
        <f t="shared" si="65"/>
        <v>12.641169239058824</v>
      </c>
      <c r="U29" s="50"/>
      <c r="V29" s="138"/>
      <c r="W29" s="50"/>
      <c r="X29" s="50"/>
      <c r="AO29" t="s">
        <v>705</v>
      </c>
      <c r="AP29" s="14">
        <f>AP27-$BE$27</f>
        <v>631.36923076923995</v>
      </c>
      <c r="AQ29" s="14">
        <f t="shared" ref="AQ29:BF29" si="66">AQ27-$BE$27</f>
        <v>-4078.1999999999825</v>
      </c>
      <c r="AR29" s="14">
        <f t="shared" si="66"/>
        <v>-3370.1999999999825</v>
      </c>
      <c r="AS29" s="14">
        <f t="shared" si="66"/>
        <v>-705</v>
      </c>
      <c r="AT29" s="14">
        <f t="shared" si="66"/>
        <v>3</v>
      </c>
      <c r="AU29" s="14">
        <f t="shared" si="66"/>
        <v>-2556.7999999999884</v>
      </c>
      <c r="AV29" s="14">
        <f t="shared" si="66"/>
        <v>-1848.7999999999884</v>
      </c>
      <c r="AW29" s="14">
        <f t="shared" si="66"/>
        <v>-865.89999999999418</v>
      </c>
      <c r="AX29" s="14">
        <f t="shared" si="66"/>
        <v>-157.89999999999418</v>
      </c>
      <c r="AY29" s="14">
        <f t="shared" si="66"/>
        <v>1175</v>
      </c>
      <c r="AZ29" s="14">
        <f t="shared" si="66"/>
        <v>1883</v>
      </c>
      <c r="BA29" s="14">
        <f t="shared" si="66"/>
        <v>1176</v>
      </c>
      <c r="BB29" s="14">
        <f t="shared" si="66"/>
        <v>1884</v>
      </c>
      <c r="BC29" s="14">
        <f t="shared" si="66"/>
        <v>2115.8000000000175</v>
      </c>
      <c r="BD29" s="14">
        <f t="shared" si="66"/>
        <v>2823.8000000000175</v>
      </c>
      <c r="BE29" s="14">
        <f t="shared" si="66"/>
        <v>0</v>
      </c>
      <c r="BF29" s="14">
        <f t="shared" si="66"/>
        <v>-3370.1999999999825</v>
      </c>
    </row>
    <row r="30" spans="2:58">
      <c r="B30" s="59" t="s">
        <v>376</v>
      </c>
      <c r="C30" s="60" t="s">
        <v>450</v>
      </c>
      <c r="D30" s="73">
        <f>D28/D17</f>
        <v>16.897345190607275</v>
      </c>
      <c r="E30" s="73">
        <f t="shared" ref="E30:T30" si="67">E28/E17</f>
        <v>21.027932960893853</v>
      </c>
      <c r="F30" s="73">
        <f t="shared" si="67"/>
        <v>8.0304347826086957</v>
      </c>
      <c r="G30" s="73">
        <f t="shared" si="67"/>
        <v>20.748603351955307</v>
      </c>
      <c r="H30" s="73">
        <f t="shared" si="67"/>
        <v>8.269565217391305</v>
      </c>
      <c r="I30" s="73">
        <f t="shared" si="67"/>
        <v>20.636871508379887</v>
      </c>
      <c r="J30" s="73">
        <f t="shared" si="67"/>
        <v>8.0304347826086957</v>
      </c>
      <c r="K30" s="73">
        <f t="shared" si="67"/>
        <v>20.636871508379887</v>
      </c>
      <c r="L30" s="73">
        <f t="shared" si="67"/>
        <v>8.0304347826086957</v>
      </c>
      <c r="M30" s="73">
        <f t="shared" si="67"/>
        <v>20.636871508379887</v>
      </c>
      <c r="N30" s="73">
        <f t="shared" si="67"/>
        <v>8.0304347826086957</v>
      </c>
      <c r="O30" s="73">
        <f t="shared" si="67"/>
        <v>20.636871508379887</v>
      </c>
      <c r="P30" s="73">
        <f t="shared" si="67"/>
        <v>8.0304347826086957</v>
      </c>
      <c r="Q30" s="73">
        <f t="shared" si="67"/>
        <v>20.636871508379887</v>
      </c>
      <c r="R30" s="73">
        <f t="shared" si="67"/>
        <v>8.0304347826086957</v>
      </c>
      <c r="S30" s="73">
        <f t="shared" si="67"/>
        <v>8.0304347826086957</v>
      </c>
      <c r="T30" s="73">
        <f t="shared" si="67"/>
        <v>8.0304347826086957</v>
      </c>
      <c r="U30" s="50"/>
      <c r="V30" s="138"/>
      <c r="W30" s="50"/>
      <c r="X30" s="50"/>
    </row>
    <row r="31" spans="2:58">
      <c r="B31" s="59" t="s">
        <v>377</v>
      </c>
      <c r="C31" s="60" t="s">
        <v>450</v>
      </c>
      <c r="D31" s="73">
        <f>(IF(D5="Natural Ventilation",SAP!$C$24+(SAP!$C$30*'C&amp;B'!$C$19),SAP!$C$24+SAP!$C$31*'C&amp;B'!$C$19))/'C&amp;B'!$C$13</f>
        <v>6.2411340734415024</v>
      </c>
      <c r="E31" s="73">
        <f>(IF(E5="Natural Ventilation",SAP!$C$24+(SAP!$C$30*'C&amp;B'!$C$19),SAP!$C$24+SAP!$C$31*'C&amp;B'!$C$19))/'C&amp;B'!$C$13</f>
        <v>6.2411340734415024</v>
      </c>
      <c r="F31" s="73">
        <f>(IF(F5="Natural Ventilation",SAP!$C$24+(SAP!$C$30*'C&amp;B'!$C$19),SAP!$C$24+SAP!$C$31*'C&amp;B'!$C$19))/'C&amp;B'!$C$13</f>
        <v>6.2411340734415024</v>
      </c>
      <c r="G31" s="73">
        <f>(IF(G5="Natural Ventilation",SAP!$C$24+(SAP!$C$30*'C&amp;B'!$C$19),SAP!$C$24+SAP!$C$31*'C&amp;B'!$C$19))/'C&amp;B'!$C$13</f>
        <v>6.2411340734415024</v>
      </c>
      <c r="H31" s="73">
        <f>(IF(H5="Natural Ventilation",SAP!$C$24+(SAP!$C$30*'C&amp;B'!$C$19),SAP!$C$24+SAP!$C$31*'C&amp;B'!$C$19))/'C&amp;B'!$C$13</f>
        <v>6.2411340734415024</v>
      </c>
      <c r="I31" s="73">
        <f>(IF(I5="Natural Ventilation",SAP!$C$24+(SAP!$C$30*'C&amp;B'!$C$19),SAP!$C$24+SAP!$C$31*'C&amp;B'!$C$19))/'C&amp;B'!$C$13</f>
        <v>15.077643040136634</v>
      </c>
      <c r="J31" s="73">
        <f>(IF(J5="Natural Ventilation",SAP!$C$24+(SAP!$C$30*'C&amp;B'!$C$19),SAP!$C$24+SAP!$C$31*'C&amp;B'!$C$19))/'C&amp;B'!$C$13</f>
        <v>15.077643040136634</v>
      </c>
      <c r="K31" s="73">
        <f>(IF(K5="Natural Ventilation",SAP!$C$24+(SAP!$C$30*'C&amp;B'!$C$19),SAP!$C$24+SAP!$C$31*'C&amp;B'!$C$19))/'C&amp;B'!$C$13</f>
        <v>15.077643040136634</v>
      </c>
      <c r="L31" s="73">
        <f>(IF(L5="Natural Ventilation",SAP!$C$24+(SAP!$C$30*'C&amp;B'!$C$19),SAP!$C$24+SAP!$C$31*'C&amp;B'!$C$19))/'C&amp;B'!$C$13</f>
        <v>15.077643040136634</v>
      </c>
      <c r="M31" s="73">
        <f>(IF(M5="Natural Ventilation",SAP!$C$24+(SAP!$C$30*'C&amp;B'!$C$19),SAP!$C$24+SAP!$C$31*'C&amp;B'!$C$19))/'C&amp;B'!$C$13</f>
        <v>15.077643040136634</v>
      </c>
      <c r="N31" s="73">
        <f>(IF(N5="Natural Ventilation",SAP!$C$24+(SAP!$C$30*'C&amp;B'!$C$19),SAP!$C$24+SAP!$C$31*'C&amp;B'!$C$19))/'C&amp;B'!$C$13</f>
        <v>15.077643040136634</v>
      </c>
      <c r="O31" s="73">
        <f>(IF(O5="Natural Ventilation",SAP!$C$24+(SAP!$C$30*'C&amp;B'!$C$19),SAP!$C$24+SAP!$C$31*'C&amp;B'!$C$19))/'C&amp;B'!$C$13</f>
        <v>15.077643040136634</v>
      </c>
      <c r="P31" s="73">
        <f>(IF(P5="Natural Ventilation",SAP!$C$24+(SAP!$C$30*'C&amp;B'!$C$19),SAP!$C$24+SAP!$C$31*'C&amp;B'!$C$19))/'C&amp;B'!$C$13</f>
        <v>15.077643040136634</v>
      </c>
      <c r="Q31" s="73">
        <f>(IF(Q5="Natural Ventilation",SAP!$C$24+(SAP!$C$30*'C&amp;B'!$C$19),SAP!$C$24+SAP!$C$31*'C&amp;B'!$C$19))/'C&amp;B'!$C$13</f>
        <v>15.077643040136634</v>
      </c>
      <c r="R31" s="73">
        <f>(IF(R5="Natural Ventilation",SAP!$C$24+(SAP!$C$30*'C&amp;B'!$C$19),SAP!$C$24+SAP!$C$31*'C&amp;B'!$C$19))/'C&amp;B'!$C$13</f>
        <v>15.077643040136634</v>
      </c>
      <c r="S31" s="73">
        <f>(IF(S5="Natural Ventilation",SAP!$C$24+(SAP!$C$30*'C&amp;B'!$C$19),SAP!$C$24+SAP!$C$31*'C&amp;B'!$C$19))/'C&amp;B'!$C$13</f>
        <v>6.2411340734415024</v>
      </c>
      <c r="T31" s="73">
        <f>(IF(T5="Natural Ventilation",SAP!$C$24+(SAP!$C$30*'C&amp;B'!$C$19),SAP!$C$24+SAP!$C$31*'C&amp;B'!$C$19))/'C&amp;B'!$C$13</f>
        <v>6.2411340734415024</v>
      </c>
      <c r="U31" s="50"/>
      <c r="V31" s="138"/>
      <c r="W31" s="50"/>
      <c r="X31" s="50"/>
    </row>
    <row r="32" spans="2:58">
      <c r="B32" s="59" t="s">
        <v>378</v>
      </c>
      <c r="C32" s="60" t="s">
        <v>450</v>
      </c>
      <c r="D32" s="62">
        <f>SAP!C55</f>
        <v>1.9833291948440768</v>
      </c>
      <c r="E32" s="74">
        <f>D32</f>
        <v>1.9833291948440768</v>
      </c>
      <c r="F32" s="74">
        <f t="shared" ref="F32:T32" si="68">E32</f>
        <v>1.9833291948440768</v>
      </c>
      <c r="G32" s="74">
        <f t="shared" si="68"/>
        <v>1.9833291948440768</v>
      </c>
      <c r="H32" s="74">
        <f t="shared" si="68"/>
        <v>1.9833291948440768</v>
      </c>
      <c r="I32" s="74">
        <f t="shared" si="68"/>
        <v>1.9833291948440768</v>
      </c>
      <c r="J32" s="74">
        <f t="shared" si="68"/>
        <v>1.9833291948440768</v>
      </c>
      <c r="K32" s="74">
        <f t="shared" si="68"/>
        <v>1.9833291948440768</v>
      </c>
      <c r="L32" s="74">
        <f t="shared" si="68"/>
        <v>1.9833291948440768</v>
      </c>
      <c r="M32" s="74">
        <f t="shared" si="68"/>
        <v>1.9833291948440768</v>
      </c>
      <c r="N32" s="74">
        <f t="shared" si="68"/>
        <v>1.9833291948440768</v>
      </c>
      <c r="O32" s="74">
        <f t="shared" si="68"/>
        <v>1.9833291948440768</v>
      </c>
      <c r="P32" s="74">
        <f t="shared" si="68"/>
        <v>1.9833291948440768</v>
      </c>
      <c r="Q32" s="74">
        <f t="shared" si="68"/>
        <v>1.9833291948440768</v>
      </c>
      <c r="R32" s="74">
        <f t="shared" si="68"/>
        <v>1.9833291948440768</v>
      </c>
      <c r="S32" s="74">
        <f t="shared" si="68"/>
        <v>1.9833291948440768</v>
      </c>
      <c r="T32" s="74">
        <f t="shared" si="68"/>
        <v>1.9833291948440768</v>
      </c>
      <c r="U32" s="50"/>
      <c r="V32" s="138"/>
      <c r="W32" s="50"/>
      <c r="X32" s="50"/>
    </row>
    <row r="33" spans="2:24">
      <c r="B33" s="59" t="s">
        <v>379</v>
      </c>
      <c r="C33" s="60" t="s">
        <v>450</v>
      </c>
      <c r="D33" s="73">
        <f t="shared" ref="D33:T33" si="69">IF(D4="Gas",SUM(D29:D30),0)</f>
        <v>64.313757559322326</v>
      </c>
      <c r="E33" s="73">
        <f t="shared" si="69"/>
        <v>69.899441340782118</v>
      </c>
      <c r="F33" s="73">
        <f t="shared" si="69"/>
        <v>0</v>
      </c>
      <c r="G33" s="73">
        <f t="shared" si="69"/>
        <v>59.675977653631293</v>
      </c>
      <c r="H33" s="73">
        <f t="shared" si="69"/>
        <v>0</v>
      </c>
      <c r="I33" s="73">
        <f t="shared" si="69"/>
        <v>59.385474860335194</v>
      </c>
      <c r="J33" s="73">
        <f t="shared" si="69"/>
        <v>0</v>
      </c>
      <c r="K33" s="73">
        <f t="shared" si="69"/>
        <v>53.620111731843579</v>
      </c>
      <c r="L33" s="73">
        <f t="shared" si="69"/>
        <v>0</v>
      </c>
      <c r="M33" s="73">
        <f t="shared" si="69"/>
        <v>48.245810055865917</v>
      </c>
      <c r="N33" s="73">
        <f t="shared" si="69"/>
        <v>0</v>
      </c>
      <c r="O33" s="73">
        <f t="shared" si="69"/>
        <v>42.681564245810051</v>
      </c>
      <c r="P33" s="73">
        <f t="shared" si="69"/>
        <v>0</v>
      </c>
      <c r="Q33" s="73">
        <f t="shared" si="69"/>
        <v>37.229050279329606</v>
      </c>
      <c r="R33" s="73">
        <f t="shared" si="69"/>
        <v>0</v>
      </c>
      <c r="S33" s="73">
        <f t="shared" si="69"/>
        <v>0</v>
      </c>
      <c r="T33" s="73">
        <f t="shared" si="69"/>
        <v>0</v>
      </c>
      <c r="U33" s="50"/>
      <c r="V33" s="138"/>
      <c r="W33" s="50"/>
      <c r="X33" s="50"/>
    </row>
    <row r="34" spans="2:24">
      <c r="B34" s="59" t="s">
        <v>380</v>
      </c>
      <c r="C34" s="60" t="s">
        <v>450</v>
      </c>
      <c r="D34" s="73">
        <f t="shared" ref="D34:T34" si="70">IF(D4="Gas", SUM(D31:D32),SUM(D29:D32))</f>
        <v>8.2244632682855787</v>
      </c>
      <c r="E34" s="73">
        <f t="shared" si="70"/>
        <v>8.2244632682855787</v>
      </c>
      <c r="F34" s="73">
        <f t="shared" si="70"/>
        <v>29.119603933247223</v>
      </c>
      <c r="G34" s="73">
        <f t="shared" si="70"/>
        <v>8.2244632682855787</v>
      </c>
      <c r="H34" s="73">
        <f t="shared" si="70"/>
        <v>26.741087309206304</v>
      </c>
      <c r="I34" s="73">
        <f t="shared" si="70"/>
        <v>17.06097223498071</v>
      </c>
      <c r="J34" s="73">
        <f t="shared" si="70"/>
        <v>35.291407017589407</v>
      </c>
      <c r="K34" s="73">
        <f t="shared" si="70"/>
        <v>17.06097223498071</v>
      </c>
      <c r="L34" s="73">
        <f t="shared" si="70"/>
        <v>33.773759958765879</v>
      </c>
      <c r="M34" s="73">
        <f t="shared" si="70"/>
        <v>17.06097223498071</v>
      </c>
      <c r="N34" s="73">
        <f t="shared" si="70"/>
        <v>32.359054076412939</v>
      </c>
      <c r="O34" s="73">
        <f t="shared" si="70"/>
        <v>17.06097223498071</v>
      </c>
      <c r="P34" s="73">
        <f t="shared" si="70"/>
        <v>30.894348194059997</v>
      </c>
      <c r="Q34" s="73">
        <f t="shared" si="70"/>
        <v>17.06097223498071</v>
      </c>
      <c r="R34" s="73">
        <f t="shared" si="70"/>
        <v>29.459054076412936</v>
      </c>
      <c r="S34" s="73">
        <f t="shared" si="70"/>
        <v>27.969132063335454</v>
      </c>
      <c r="T34" s="73">
        <f t="shared" si="70"/>
        <v>28.896067289953098</v>
      </c>
      <c r="U34" s="50"/>
      <c r="V34" s="138"/>
      <c r="W34" s="50"/>
      <c r="X34" s="50"/>
    </row>
    <row r="35" spans="2:24">
      <c r="B35" s="59" t="s">
        <v>452</v>
      </c>
      <c r="C35" s="60" t="s">
        <v>450</v>
      </c>
      <c r="D35" s="73">
        <f>D26*SAP!$C$143/'C&amp;B'!$C$13</f>
        <v>28.061667827770371</v>
      </c>
      <c r="E35" s="73">
        <f>E26*SAP!$C$143/'C&amp;B'!$C$13</f>
        <v>0</v>
      </c>
      <c r="F35" s="73">
        <f>F26*SAP!$C$143/'C&amp;B'!$C$13</f>
        <v>0</v>
      </c>
      <c r="G35" s="73">
        <f>G26*SAP!$C$143/'C&amp;B'!$C$13</f>
        <v>0</v>
      </c>
      <c r="H35" s="73">
        <f>H26*SAP!$C$143/'C&amp;B'!$C$13</f>
        <v>0</v>
      </c>
      <c r="I35" s="73">
        <f>I26*SAP!$C$143/'C&amp;B'!$C$13</f>
        <v>0</v>
      </c>
      <c r="J35" s="73">
        <f>J26*SAP!$C$143/'C&amp;B'!$C$13</f>
        <v>0</v>
      </c>
      <c r="K35" s="73">
        <f>K26*SAP!$C$143/'C&amp;B'!$C$13</f>
        <v>0</v>
      </c>
      <c r="L35" s="73">
        <f>L26*SAP!$C$143/'C&amp;B'!$C$13</f>
        <v>0</v>
      </c>
      <c r="M35" s="73">
        <f>M26*SAP!$C$143/'C&amp;B'!$C$13</f>
        <v>0</v>
      </c>
      <c r="N35" s="73">
        <f>N26*SAP!$C$143/'C&amp;B'!$C$13</f>
        <v>0</v>
      </c>
      <c r="O35" s="73">
        <f>O26*SAP!$C$143/'C&amp;B'!$C$13</f>
        <v>0</v>
      </c>
      <c r="P35" s="73">
        <f>P26*SAP!$C$143/'C&amp;B'!$C$13</f>
        <v>0</v>
      </c>
      <c r="Q35" s="73">
        <f>Q26*SAP!$C$143/'C&amp;B'!$C$13</f>
        <v>0</v>
      </c>
      <c r="R35" s="73">
        <f>R26*SAP!$C$143/'C&amp;B'!$C$13</f>
        <v>0</v>
      </c>
      <c r="S35" s="73">
        <f>S26*SAP!$C$143/'C&amp;B'!$C$13</f>
        <v>0</v>
      </c>
      <c r="T35" s="73">
        <f>T26*SAP!$C$143/'C&amp;B'!$C$13</f>
        <v>0</v>
      </c>
      <c r="U35" s="50"/>
      <c r="V35" s="138"/>
      <c r="W35" s="50"/>
      <c r="X35" s="50"/>
    </row>
    <row r="36" spans="2:24">
      <c r="B36" s="59" t="s">
        <v>448</v>
      </c>
      <c r="C36" s="60" t="s">
        <v>451</v>
      </c>
      <c r="D36" s="73">
        <f>D33*SAP!$C$6</f>
        <v>13.505889087457687</v>
      </c>
      <c r="E36" s="73">
        <f>E33*SAP!$C$6</f>
        <v>14.678882681564245</v>
      </c>
      <c r="F36" s="73">
        <f>F33*SAP!$C$6</f>
        <v>0</v>
      </c>
      <c r="G36" s="73">
        <f>G33*SAP!$C$6</f>
        <v>12.531955307262571</v>
      </c>
      <c r="H36" s="73">
        <f>H33*SAP!$C$6</f>
        <v>0</v>
      </c>
      <c r="I36" s="73">
        <f>I33*SAP!$C$6</f>
        <v>12.47094972067039</v>
      </c>
      <c r="J36" s="73">
        <f>J33*SAP!$C$6</f>
        <v>0</v>
      </c>
      <c r="K36" s="73">
        <f>K33*SAP!$C$6</f>
        <v>11.260223463687151</v>
      </c>
      <c r="L36" s="73">
        <f>L33*SAP!$C$6</f>
        <v>0</v>
      </c>
      <c r="M36" s="73">
        <f>M33*SAP!$C$6</f>
        <v>10.131620111731841</v>
      </c>
      <c r="N36" s="73">
        <f>N33*SAP!$C$6</f>
        <v>0</v>
      </c>
      <c r="O36" s="73">
        <f>O33*SAP!$C$6</f>
        <v>8.963128491620111</v>
      </c>
      <c r="P36" s="73">
        <f>P33*SAP!$C$6</f>
        <v>0</v>
      </c>
      <c r="Q36" s="73">
        <f>Q33*SAP!$C$6</f>
        <v>7.8181005586592169</v>
      </c>
      <c r="R36" s="73">
        <f>R33*SAP!$C$6</f>
        <v>0</v>
      </c>
      <c r="S36" s="73">
        <f>S33*SAP!$C$6</f>
        <v>0</v>
      </c>
      <c r="T36" s="73">
        <f>T33*SAP!$C$6</f>
        <v>0</v>
      </c>
    </row>
    <row r="37" spans="2:24">
      <c r="B37" s="59" t="s">
        <v>453</v>
      </c>
      <c r="C37" s="60" t="s">
        <v>451</v>
      </c>
      <c r="D37" s="73">
        <f>D34*SAP!$C$9</f>
        <v>1.1185270044868387</v>
      </c>
      <c r="E37" s="73">
        <f>E34*SAP!$C$9</f>
        <v>1.1185270044868387</v>
      </c>
      <c r="F37" s="73">
        <f>F34*SAP!$C$9</f>
        <v>3.9602661349216226</v>
      </c>
      <c r="G37" s="73">
        <f>G34*SAP!$C$9</f>
        <v>1.1185270044868387</v>
      </c>
      <c r="H37" s="73">
        <f>H34*SAP!$C$9</f>
        <v>3.6367878740520574</v>
      </c>
      <c r="I37" s="73">
        <f>I34*SAP!$C$9</f>
        <v>2.3202922239573769</v>
      </c>
      <c r="J37" s="73">
        <f>J34*SAP!$C$9</f>
        <v>4.7996313543921598</v>
      </c>
      <c r="K37" s="73">
        <f>K34*SAP!$C$9</f>
        <v>2.3202922239573769</v>
      </c>
      <c r="L37" s="73">
        <f>L34*SAP!$C$9</f>
        <v>4.5932313543921595</v>
      </c>
      <c r="M37" s="73">
        <f>M34*SAP!$C$9</f>
        <v>2.3202922239573769</v>
      </c>
      <c r="N37" s="73">
        <f>N34*SAP!$C$9</f>
        <v>4.4008313543921602</v>
      </c>
      <c r="O37" s="73">
        <f>O34*SAP!$C$9</f>
        <v>2.3202922239573769</v>
      </c>
      <c r="P37" s="73">
        <f>P34*SAP!$C$9</f>
        <v>4.20163135439216</v>
      </c>
      <c r="Q37" s="73">
        <f>Q34*SAP!$C$9</f>
        <v>2.3202922239573769</v>
      </c>
      <c r="R37" s="73">
        <f>R34*SAP!$C$9</f>
        <v>4.0064313543921592</v>
      </c>
      <c r="S37" s="73">
        <f>S34*SAP!$C$9</f>
        <v>3.803801960613622</v>
      </c>
      <c r="T37" s="73">
        <f>T34*SAP!$C$9</f>
        <v>3.9298651514336216</v>
      </c>
    </row>
    <row r="38" spans="2:24">
      <c r="B38" s="59" t="s">
        <v>454</v>
      </c>
      <c r="C38" s="60" t="s">
        <v>451</v>
      </c>
      <c r="D38" s="73">
        <f>-D35*SAP!$C$10</f>
        <v>-3.8163868245767709</v>
      </c>
      <c r="E38" s="73">
        <f>-E35*SAP!$C$10</f>
        <v>0</v>
      </c>
      <c r="F38" s="73">
        <f>-F35*SAP!$C$10</f>
        <v>0</v>
      </c>
      <c r="G38" s="73">
        <f>-G35*SAP!$C$10</f>
        <v>0</v>
      </c>
      <c r="H38" s="73">
        <f>-H35*SAP!$C$10</f>
        <v>0</v>
      </c>
      <c r="I38" s="73">
        <f>-I35*SAP!$C$10</f>
        <v>0</v>
      </c>
      <c r="J38" s="73">
        <f>-J35*SAP!$C$10</f>
        <v>0</v>
      </c>
      <c r="K38" s="73">
        <f>-K35*SAP!$C$10</f>
        <v>0</v>
      </c>
      <c r="L38" s="73">
        <f>-L35*SAP!$C$10</f>
        <v>0</v>
      </c>
      <c r="M38" s="73">
        <f>-M35*SAP!$C$10</f>
        <v>0</v>
      </c>
      <c r="N38" s="73">
        <f>-N35*SAP!$C$10</f>
        <v>0</v>
      </c>
      <c r="O38" s="73">
        <f>-O35*SAP!$C$10</f>
        <v>0</v>
      </c>
      <c r="P38" s="73">
        <f>-P35*SAP!$C$10</f>
        <v>0</v>
      </c>
      <c r="Q38" s="73">
        <f>-Q35*SAP!$C$10</f>
        <v>0</v>
      </c>
      <c r="R38" s="73">
        <f>-R35*SAP!$C$10</f>
        <v>0</v>
      </c>
      <c r="S38" s="73">
        <f>-S35*SAP!$C$10</f>
        <v>0</v>
      </c>
      <c r="T38" s="73">
        <f>-T35*SAP!$C$10</f>
        <v>0</v>
      </c>
    </row>
    <row r="39" spans="2:24">
      <c r="B39" s="59" t="s">
        <v>449</v>
      </c>
      <c r="C39" s="60" t="s">
        <v>451</v>
      </c>
      <c r="D39" s="73">
        <f>D36+D37+D38</f>
        <v>10.808029267367754</v>
      </c>
      <c r="E39" s="73">
        <f t="shared" ref="E39:T39" si="71">E36+E37+E38</f>
        <v>15.797409686051083</v>
      </c>
      <c r="F39" s="73">
        <f t="shared" si="71"/>
        <v>3.9602661349216226</v>
      </c>
      <c r="G39" s="73">
        <f t="shared" si="71"/>
        <v>13.650482311749411</v>
      </c>
      <c r="H39" s="73">
        <f t="shared" si="71"/>
        <v>3.6367878740520574</v>
      </c>
      <c r="I39" s="73">
        <f t="shared" si="71"/>
        <v>14.791241944627767</v>
      </c>
      <c r="J39" s="73">
        <f t="shared" si="71"/>
        <v>4.7996313543921598</v>
      </c>
      <c r="K39" s="73">
        <f t="shared" si="71"/>
        <v>13.580515687644528</v>
      </c>
      <c r="L39" s="73">
        <f t="shared" si="71"/>
        <v>4.5932313543921595</v>
      </c>
      <c r="M39" s="73">
        <f t="shared" si="71"/>
        <v>12.451912335689219</v>
      </c>
      <c r="N39" s="73">
        <f t="shared" si="71"/>
        <v>4.4008313543921602</v>
      </c>
      <c r="O39" s="73">
        <f t="shared" si="71"/>
        <v>11.283420715577488</v>
      </c>
      <c r="P39" s="73">
        <f t="shared" si="71"/>
        <v>4.20163135439216</v>
      </c>
      <c r="Q39" s="73">
        <f t="shared" si="71"/>
        <v>10.138392782616593</v>
      </c>
      <c r="R39" s="73">
        <f t="shared" si="71"/>
        <v>4.0064313543921592</v>
      </c>
      <c r="S39" s="73">
        <f t="shared" si="71"/>
        <v>3.803801960613622</v>
      </c>
      <c r="T39" s="73">
        <f t="shared" si="71"/>
        <v>3.9298651514336216</v>
      </c>
    </row>
    <row r="40" spans="2:24">
      <c r="B40" s="59" t="s">
        <v>731</v>
      </c>
      <c r="C40" s="71" t="s">
        <v>609</v>
      </c>
      <c r="D40" s="148">
        <f>IF(ISNUMBER(AP97),AP97,"Not Possible")</f>
        <v>4001.5692307692225</v>
      </c>
      <c r="E40" s="148">
        <f t="shared" ref="E40:T40" si="72">IF(ISNUMBER(AQ97),AQ97,"Not Possible")</f>
        <v>4504.5333311804134</v>
      </c>
      <c r="F40" s="148">
        <f t="shared" si="72"/>
        <v>0</v>
      </c>
      <c r="G40" s="148">
        <f t="shared" si="72"/>
        <v>5384.9727601978666</v>
      </c>
      <c r="H40" s="148">
        <f t="shared" si="72"/>
        <v>3373.1999999999825</v>
      </c>
      <c r="I40" s="148">
        <f t="shared" si="72"/>
        <v>4183.2349953232624</v>
      </c>
      <c r="J40" s="148">
        <f t="shared" si="72"/>
        <v>1521.3999999999942</v>
      </c>
      <c r="K40" s="148">
        <f t="shared" si="72"/>
        <v>5184.2022574741422</v>
      </c>
      <c r="L40" s="148">
        <f t="shared" si="72"/>
        <v>3212.2999999999884</v>
      </c>
      <c r="M40" s="148">
        <f t="shared" si="72"/>
        <v>6581.9672828512121</v>
      </c>
      <c r="N40" s="148">
        <f t="shared" si="72"/>
        <v>5253.1999999999825</v>
      </c>
      <c r="O40" s="148">
        <f t="shared" si="72"/>
        <v>5917.1019660898601</v>
      </c>
      <c r="P40" s="148">
        <f t="shared" si="72"/>
        <v>5254.1999999999825</v>
      </c>
      <c r="Q40" s="148">
        <f t="shared" si="72"/>
        <v>5486</v>
      </c>
      <c r="R40" s="148">
        <f t="shared" si="72"/>
        <v>6194</v>
      </c>
      <c r="S40" s="148">
        <f t="shared" si="72"/>
        <v>3370.1999999999825</v>
      </c>
      <c r="T40" s="148">
        <f t="shared" si="72"/>
        <v>0</v>
      </c>
    </row>
    <row r="41" spans="2:24">
      <c r="B41" s="59" t="s">
        <v>731</v>
      </c>
      <c r="C41" s="71" t="s">
        <v>610</v>
      </c>
      <c r="D41" s="148">
        <f t="shared" ref="D41:D43" si="73">IF(ISNUMBER(AP98),AP98,"Not Possible")</f>
        <v>5843.0193831219804</v>
      </c>
      <c r="E41" s="148">
        <f t="shared" ref="E41:E43" si="74">IF(ISNUMBER(AQ98),AQ98,"Not Possible")</f>
        <v>5633.6757912254689</v>
      </c>
      <c r="F41" s="148">
        <f t="shared" ref="F41:F43" si="75">IF(ISNUMBER(AR98),AR98,"Not Possible")</f>
        <v>0</v>
      </c>
      <c r="G41" s="148">
        <f t="shared" ref="G41:G43" si="76">IF(ISNUMBER(AS98),AS98,"Not Possible")</f>
        <v>6000.8686474951683</v>
      </c>
      <c r="H41" s="148">
        <f t="shared" ref="H41:H43" si="77">IF(ISNUMBER(AT98),AT98,"Not Possible")</f>
        <v>3373.1999999999825</v>
      </c>
      <c r="I41" s="148">
        <f t="shared" ref="I41:I43" si="78">IF(ISNUMBER(AU98),AU98,"Not Possible")</f>
        <v>6103.9066181377275</v>
      </c>
      <c r="J41" s="148">
        <f t="shared" ref="J41:J43" si="79">IF(ISNUMBER(AV98),AV98,"Not Possible")</f>
        <v>1521.3999999999942</v>
      </c>
      <c r="K41" s="148">
        <f t="shared" ref="K41:K43" si="80">IF(ISNUMBER(AW98),AW98,"Not Possible")</f>
        <v>5800.0981447714439</v>
      </c>
      <c r="L41" s="148">
        <f t="shared" ref="L41:L43" si="81">IF(ISNUMBER(AX98),AX98,"Not Possible")</f>
        <v>3212.2999999999884</v>
      </c>
      <c r="M41" s="148">
        <f t="shared" ref="M41:M43" si="82">IF(ISNUMBER(AY98),AY98,"Not Possible")</f>
        <v>7197.8631701485283</v>
      </c>
      <c r="N41" s="148">
        <f t="shared" ref="N41:N43" si="83">IF(ISNUMBER(AZ98),AZ98,"Not Possible")</f>
        <v>5253.1999999999825</v>
      </c>
      <c r="O41" s="148">
        <f t="shared" ref="O41:O43" si="84">IF(ISNUMBER(BA98),BA98,"Not Possible")</f>
        <v>6532.9978533871763</v>
      </c>
      <c r="P41" s="148">
        <f t="shared" ref="P41:P43" si="85">IF(ISNUMBER(BB98),BB98,"Not Possible")</f>
        <v>5254.1999999999825</v>
      </c>
      <c r="Q41" s="148">
        <f t="shared" ref="Q41:Q43" si="86">IF(ISNUMBER(BC98),BC98,"Not Possible")</f>
        <v>6820.3033261190285</v>
      </c>
      <c r="R41" s="148">
        <f t="shared" ref="R41:R43" si="87">IF(ISNUMBER(BD98),BD98,"Not Possible")</f>
        <v>6194</v>
      </c>
      <c r="S41" s="148">
        <f t="shared" ref="S41:S43" si="88">IF(ISNUMBER(BE98),BE98,"Not Possible")</f>
        <v>3370.1999999999825</v>
      </c>
      <c r="T41" s="148">
        <f t="shared" ref="T41:T43" si="89">IF(ISNUMBER(BF98),BF98,"Not Possible")</f>
        <v>0</v>
      </c>
    </row>
    <row r="42" spans="2:24">
      <c r="B42" s="59" t="s">
        <v>731</v>
      </c>
      <c r="C42" s="71" t="s">
        <v>611</v>
      </c>
      <c r="D42" s="148">
        <f t="shared" si="73"/>
        <v>6972.1618431670504</v>
      </c>
      <c r="E42" s="148">
        <f t="shared" si="74"/>
        <v>6762.8182512705389</v>
      </c>
      <c r="F42" s="148">
        <f t="shared" si="75"/>
        <v>0</v>
      </c>
      <c r="G42" s="148">
        <f t="shared" si="76"/>
        <v>7893.0683137862361</v>
      </c>
      <c r="H42" s="148">
        <f t="shared" si="77"/>
        <v>3373.1999999999825</v>
      </c>
      <c r="I42" s="148">
        <f t="shared" si="78"/>
        <v>7233.0490781827975</v>
      </c>
      <c r="J42" s="148">
        <f t="shared" si="79"/>
        <v>1521.3999999999942</v>
      </c>
      <c r="K42" s="148">
        <f t="shared" si="80"/>
        <v>7659.0723921260651</v>
      </c>
      <c r="L42" s="148">
        <f t="shared" si="81"/>
        <v>3212.2999999999884</v>
      </c>
      <c r="M42" s="148">
        <f t="shared" si="82"/>
        <v>7813.75905744583</v>
      </c>
      <c r="N42" s="148">
        <f t="shared" si="83"/>
        <v>5253.1999999999825</v>
      </c>
      <c r="O42" s="148">
        <f t="shared" si="84"/>
        <v>7148.893740684478</v>
      </c>
      <c r="P42" s="148">
        <f t="shared" si="85"/>
        <v>5254.1999999999825</v>
      </c>
      <c r="Q42" s="148">
        <f t="shared" si="86"/>
        <v>7436.1992134163447</v>
      </c>
      <c r="R42" s="148">
        <f t="shared" si="87"/>
        <v>6194</v>
      </c>
      <c r="S42" s="148">
        <f t="shared" si="88"/>
        <v>3370.1999999999825</v>
      </c>
      <c r="T42" s="148">
        <f t="shared" si="89"/>
        <v>0</v>
      </c>
    </row>
    <row r="43" spans="2:24">
      <c r="B43" s="59" t="s">
        <v>731</v>
      </c>
      <c r="C43" s="71" t="s">
        <v>612</v>
      </c>
      <c r="D43" s="148">
        <f t="shared" si="73"/>
        <v>8101.3043032121059</v>
      </c>
      <c r="E43" s="148" t="str">
        <f t="shared" si="74"/>
        <v>Not Possible</v>
      </c>
      <c r="F43" s="148">
        <f t="shared" si="75"/>
        <v>0</v>
      </c>
      <c r="G43" s="148">
        <f t="shared" si="76"/>
        <v>9022.2107738313061</v>
      </c>
      <c r="H43" s="148">
        <f t="shared" si="77"/>
        <v>3373.1999999999825</v>
      </c>
      <c r="I43" s="148">
        <f t="shared" si="78"/>
        <v>8362.191538227853</v>
      </c>
      <c r="J43" s="148">
        <f t="shared" si="79"/>
        <v>1521.3999999999942</v>
      </c>
      <c r="K43" s="148">
        <f t="shared" si="80"/>
        <v>8788.2148521711351</v>
      </c>
      <c r="L43" s="148">
        <f t="shared" si="81"/>
        <v>3212.2999999999884</v>
      </c>
      <c r="M43" s="148">
        <f t="shared" si="82"/>
        <v>9650.0340653624444</v>
      </c>
      <c r="N43" s="148">
        <f t="shared" si="83"/>
        <v>5253.1999999999825</v>
      </c>
      <c r="O43" s="148">
        <f t="shared" si="84"/>
        <v>7764.7896279817942</v>
      </c>
      <c r="P43" s="148">
        <f t="shared" si="85"/>
        <v>5254.1999999999825</v>
      </c>
      <c r="Q43" s="148">
        <f t="shared" si="86"/>
        <v>8052.0951007136464</v>
      </c>
      <c r="R43" s="148">
        <f t="shared" si="87"/>
        <v>6194</v>
      </c>
      <c r="S43" s="148">
        <f t="shared" si="88"/>
        <v>3370.1999999999825</v>
      </c>
      <c r="T43" s="148">
        <f t="shared" si="89"/>
        <v>0</v>
      </c>
    </row>
    <row r="44" spans="2:24">
      <c r="B44" s="59" t="s">
        <v>731</v>
      </c>
      <c r="C44" s="71" t="s">
        <v>613</v>
      </c>
      <c r="D44" s="148" t="str">
        <f t="shared" ref="D44:M46" si="90">IF(ISNUMBER(AP101),AP101,"Not Possible")</f>
        <v>Not Possible</v>
      </c>
      <c r="E44" s="148" t="str">
        <f t="shared" si="90"/>
        <v>Not Possible</v>
      </c>
      <c r="F44" s="148">
        <f t="shared" si="90"/>
        <v>0</v>
      </c>
      <c r="G44" s="148">
        <f t="shared" si="90"/>
        <v>10151.353233876376</v>
      </c>
      <c r="H44" s="148">
        <f t="shared" si="90"/>
        <v>3373.1999999999825</v>
      </c>
      <c r="I44" s="148" t="str">
        <f t="shared" si="90"/>
        <v>Not Possible</v>
      </c>
      <c r="J44" s="148">
        <f t="shared" si="90"/>
        <v>1521.3999999999942</v>
      </c>
      <c r="K44" s="148">
        <f t="shared" si="90"/>
        <v>9917.3573122162052</v>
      </c>
      <c r="L44" s="148">
        <f t="shared" si="90"/>
        <v>3212.2999999999884</v>
      </c>
      <c r="M44" s="148">
        <f t="shared" si="90"/>
        <v>10779.176525407514</v>
      </c>
      <c r="N44" s="148">
        <f t="shared" ref="N44:T46" si="91">IF(ISNUMBER(AZ101),AZ101,"Not Possible")</f>
        <v>5253.1999999999825</v>
      </c>
      <c r="O44" s="148">
        <f t="shared" si="91"/>
        <v>9559.4234446783666</v>
      </c>
      <c r="P44" s="148">
        <f t="shared" si="91"/>
        <v>5254.1999999999825</v>
      </c>
      <c r="Q44" s="148">
        <f t="shared" si="91"/>
        <v>8667.9909880109626</v>
      </c>
      <c r="R44" s="148">
        <f t="shared" si="91"/>
        <v>6194</v>
      </c>
      <c r="S44" s="148">
        <f t="shared" si="91"/>
        <v>3370.1999999999825</v>
      </c>
      <c r="T44" s="148">
        <f t="shared" si="91"/>
        <v>0</v>
      </c>
    </row>
    <row r="45" spans="2:24">
      <c r="B45" s="59" t="s">
        <v>731</v>
      </c>
      <c r="C45" s="71" t="s">
        <v>614</v>
      </c>
      <c r="D45" s="148" t="str">
        <f t="shared" si="90"/>
        <v>Not Possible</v>
      </c>
      <c r="E45" s="148" t="str">
        <f t="shared" si="90"/>
        <v>Not Possible</v>
      </c>
      <c r="F45" s="148">
        <f t="shared" si="90"/>
        <v>0</v>
      </c>
      <c r="G45" s="148" t="str">
        <f t="shared" si="90"/>
        <v>Not Possible</v>
      </c>
      <c r="H45" s="148">
        <f t="shared" si="90"/>
        <v>3373.1999999999825</v>
      </c>
      <c r="I45" s="148" t="str">
        <f t="shared" si="90"/>
        <v>Not Possible</v>
      </c>
      <c r="J45" s="148">
        <f t="shared" si="90"/>
        <v>1521.3999999999942</v>
      </c>
      <c r="K45" s="148" t="str">
        <f t="shared" si="90"/>
        <v>Not Possible</v>
      </c>
      <c r="L45" s="148">
        <f t="shared" si="90"/>
        <v>3212.2999999999884</v>
      </c>
      <c r="M45" s="148">
        <f t="shared" si="90"/>
        <v>11908.318985452584</v>
      </c>
      <c r="N45" s="148">
        <f t="shared" si="91"/>
        <v>5253.1999999999825</v>
      </c>
      <c r="O45" s="148">
        <f t="shared" si="91"/>
        <v>10688.565904723422</v>
      </c>
      <c r="P45" s="148">
        <f t="shared" si="91"/>
        <v>5254.1999999999825</v>
      </c>
      <c r="Q45" s="148">
        <f t="shared" si="91"/>
        <v>10432.125938065146</v>
      </c>
      <c r="R45" s="148">
        <f t="shared" si="91"/>
        <v>6194</v>
      </c>
      <c r="S45" s="148">
        <f t="shared" si="91"/>
        <v>3370.1999999999825</v>
      </c>
      <c r="T45" s="148">
        <f t="shared" si="91"/>
        <v>0</v>
      </c>
    </row>
    <row r="46" spans="2:24">
      <c r="B46" s="59" t="s">
        <v>731</v>
      </c>
      <c r="C46" s="71" t="s">
        <v>615</v>
      </c>
      <c r="D46" s="148" t="str">
        <f t="shared" si="90"/>
        <v>Not Possible</v>
      </c>
      <c r="E46" s="148" t="str">
        <f t="shared" si="90"/>
        <v>Not Possible</v>
      </c>
      <c r="F46" s="148">
        <f t="shared" si="90"/>
        <v>3356.7589009638905</v>
      </c>
      <c r="G46" s="148" t="str">
        <f t="shared" si="90"/>
        <v>Not Possible</v>
      </c>
      <c r="H46" s="148">
        <f t="shared" si="90"/>
        <v>6545.6247123979847</v>
      </c>
      <c r="I46" s="148" t="str">
        <f t="shared" si="90"/>
        <v>Not Possible</v>
      </c>
      <c r="J46" s="148">
        <f t="shared" si="90"/>
        <v>6535.6976307166187</v>
      </c>
      <c r="K46" s="148" t="str">
        <f t="shared" si="90"/>
        <v>Not Possible</v>
      </c>
      <c r="L46" s="148">
        <f t="shared" si="90"/>
        <v>8010.9662718555046</v>
      </c>
      <c r="M46" s="148" t="str">
        <f t="shared" si="90"/>
        <v>Not Possible</v>
      </c>
      <c r="N46" s="148">
        <f t="shared" si="91"/>
        <v>9850.8610710566863</v>
      </c>
      <c r="O46" s="148" t="str">
        <f t="shared" si="91"/>
        <v>Not Possible</v>
      </c>
      <c r="P46" s="148">
        <f t="shared" si="91"/>
        <v>8748.5009470955847</v>
      </c>
      <c r="Q46" s="148" t="str">
        <f t="shared" si="91"/>
        <v>Not Possible</v>
      </c>
      <c r="R46" s="148">
        <f t="shared" si="91"/>
        <v>9577.0661657803576</v>
      </c>
      <c r="S46" s="148">
        <f t="shared" si="91"/>
        <v>6637.7977420867246</v>
      </c>
      <c r="T46" s="148">
        <f t="shared" si="91"/>
        <v>3339.4348909738474</v>
      </c>
    </row>
    <row r="47" spans="2:24">
      <c r="B47" s="59" t="s">
        <v>732</v>
      </c>
      <c r="C47" s="71" t="s">
        <v>609</v>
      </c>
      <c r="D47" s="148" t="str">
        <f t="shared" ref="D47:D53" si="92">IF(ISNUMBER(AP106),AP106,"Not Possible")</f>
        <v>Not Possible</v>
      </c>
      <c r="E47" s="148" t="str">
        <f t="shared" ref="E47:T53" si="93">IF(ISNUMBER(AQ106),AQ106,"Not Possible")</f>
        <v>Not Possible</v>
      </c>
      <c r="F47" s="148">
        <f t="shared" si="93"/>
        <v>0</v>
      </c>
      <c r="G47" s="148" t="str">
        <f t="shared" si="93"/>
        <v>Not Possible</v>
      </c>
      <c r="H47" s="148">
        <f t="shared" si="93"/>
        <v>2184.0388411228341</v>
      </c>
      <c r="I47" s="148" t="str">
        <f t="shared" si="93"/>
        <v>Not Possible</v>
      </c>
      <c r="J47" s="148">
        <f t="shared" si="93"/>
        <v>1999.7125339724444</v>
      </c>
      <c r="K47" s="148" t="str">
        <f t="shared" si="93"/>
        <v>Not Possible</v>
      </c>
      <c r="L47" s="148">
        <f t="shared" si="93"/>
        <v>3572.9954291391186</v>
      </c>
      <c r="M47" s="148" t="str">
        <f t="shared" si="93"/>
        <v>Not Possible</v>
      </c>
      <c r="N47" s="148">
        <f t="shared" si="93"/>
        <v>5504.2562287033943</v>
      </c>
      <c r="O47" s="148">
        <f t="shared" si="93"/>
        <v>11171.18785224593</v>
      </c>
      <c r="P47" s="148">
        <f t="shared" si="93"/>
        <v>5391.7420461316942</v>
      </c>
      <c r="Q47" s="148">
        <f t="shared" si="93"/>
        <v>10914.747885587654</v>
      </c>
      <c r="R47" s="148">
        <f t="shared" si="93"/>
        <v>6220.3072648164671</v>
      </c>
      <c r="S47" s="148">
        <f t="shared" si="93"/>
        <v>2181.0388411228341</v>
      </c>
      <c r="T47" s="148">
        <f t="shared" si="93"/>
        <v>0</v>
      </c>
    </row>
    <row r="48" spans="2:24">
      <c r="B48" s="59" t="s">
        <v>732</v>
      </c>
      <c r="C48" s="71" t="s">
        <v>610</v>
      </c>
      <c r="D48" s="148" t="str">
        <f t="shared" si="92"/>
        <v>Not Possible</v>
      </c>
      <c r="E48" s="148" t="str">
        <f t="shared" si="93"/>
        <v>Not Possible</v>
      </c>
      <c r="F48" s="148">
        <f t="shared" si="93"/>
        <v>216.75977420868003</v>
      </c>
      <c r="G48" s="148" t="str">
        <f t="shared" si="93"/>
        <v>Not Possible</v>
      </c>
      <c r="H48" s="148">
        <f t="shared" si="93"/>
        <v>3405.6255856427742</v>
      </c>
      <c r="I48" s="148" t="str">
        <f t="shared" si="93"/>
        <v>Not Possible</v>
      </c>
      <c r="J48" s="148">
        <f t="shared" si="93"/>
        <v>2216.4723081811244</v>
      </c>
      <c r="K48" s="148" t="str">
        <f t="shared" si="93"/>
        <v>Not Possible</v>
      </c>
      <c r="L48" s="148">
        <f t="shared" si="93"/>
        <v>3789.7552033477841</v>
      </c>
      <c r="M48" s="148" t="str">
        <f t="shared" si="93"/>
        <v>Not Possible</v>
      </c>
      <c r="N48" s="148">
        <f t="shared" si="93"/>
        <v>5721.0160029120598</v>
      </c>
      <c r="O48" s="148" t="str">
        <f t="shared" si="93"/>
        <v>Not Possible</v>
      </c>
      <c r="P48" s="148">
        <f t="shared" si="93"/>
        <v>5608.5018203403743</v>
      </c>
      <c r="Q48" s="148">
        <f t="shared" si="93"/>
        <v>11312.14080497023</v>
      </c>
      <c r="R48" s="148">
        <f t="shared" si="93"/>
        <v>6437.0670390251471</v>
      </c>
      <c r="S48" s="148">
        <f t="shared" si="93"/>
        <v>3497.7986153315142</v>
      </c>
      <c r="T48" s="148">
        <f t="shared" si="93"/>
        <v>216.75977420868003</v>
      </c>
    </row>
    <row r="49" spans="2:58">
      <c r="B49" s="59" t="s">
        <v>732</v>
      </c>
      <c r="C49" s="71" t="s">
        <v>611</v>
      </c>
      <c r="D49" s="148" t="str">
        <f t="shared" si="92"/>
        <v>Not Possible</v>
      </c>
      <c r="E49" s="148" t="str">
        <f t="shared" si="93"/>
        <v>Not Possible</v>
      </c>
      <c r="F49" s="148">
        <f t="shared" si="93"/>
        <v>433.5195484173455</v>
      </c>
      <c r="G49" s="148" t="str">
        <f t="shared" si="93"/>
        <v>Not Possible</v>
      </c>
      <c r="H49" s="148">
        <f t="shared" si="93"/>
        <v>3622.3853598514543</v>
      </c>
      <c r="I49" s="148" t="str">
        <f t="shared" si="93"/>
        <v>Not Possible</v>
      </c>
      <c r="J49" s="148">
        <f t="shared" si="93"/>
        <v>2433.2320823897899</v>
      </c>
      <c r="K49" s="148" t="str">
        <f t="shared" si="93"/>
        <v>Not Possible</v>
      </c>
      <c r="L49" s="148">
        <f t="shared" si="93"/>
        <v>4006.5149775564641</v>
      </c>
      <c r="M49" s="148" t="str">
        <f t="shared" si="93"/>
        <v>Not Possible</v>
      </c>
      <c r="N49" s="148">
        <f t="shared" si="93"/>
        <v>5937.7757771207398</v>
      </c>
      <c r="O49" s="148" t="str">
        <f t="shared" si="93"/>
        <v>Not Possible</v>
      </c>
      <c r="P49" s="148">
        <f t="shared" si="93"/>
        <v>5825.2615945490397</v>
      </c>
      <c r="Q49" s="148">
        <f t="shared" si="93"/>
        <v>11709.53372435279</v>
      </c>
      <c r="R49" s="148">
        <f t="shared" si="93"/>
        <v>6653.8268132338271</v>
      </c>
      <c r="S49" s="148">
        <f t="shared" si="93"/>
        <v>3714.5583895401796</v>
      </c>
      <c r="T49" s="148">
        <f t="shared" si="93"/>
        <v>433.5195484173455</v>
      </c>
    </row>
    <row r="50" spans="2:58">
      <c r="B50" s="59" t="s">
        <v>732</v>
      </c>
      <c r="C50" s="71" t="s">
        <v>612</v>
      </c>
      <c r="D50" s="148" t="str">
        <f t="shared" si="92"/>
        <v>Not Possible</v>
      </c>
      <c r="E50" s="148" t="str">
        <f t="shared" si="93"/>
        <v>Not Possible</v>
      </c>
      <c r="F50" s="148">
        <f t="shared" si="93"/>
        <v>650.27932262602553</v>
      </c>
      <c r="G50" s="148" t="str">
        <f t="shared" si="93"/>
        <v>Not Possible</v>
      </c>
      <c r="H50" s="148">
        <f t="shared" si="93"/>
        <v>3839.1451340601197</v>
      </c>
      <c r="I50" s="148" t="str">
        <f t="shared" si="93"/>
        <v>Not Possible</v>
      </c>
      <c r="J50" s="148">
        <f t="shared" si="93"/>
        <v>2649.9918565984699</v>
      </c>
      <c r="K50" s="148" t="str">
        <f t="shared" si="93"/>
        <v>Not Possible</v>
      </c>
      <c r="L50" s="148">
        <f t="shared" si="93"/>
        <v>4223.2747517651296</v>
      </c>
      <c r="M50" s="148" t="str">
        <f t="shared" si="93"/>
        <v>Not Possible</v>
      </c>
      <c r="N50" s="148">
        <f t="shared" si="93"/>
        <v>6154.5355513294198</v>
      </c>
      <c r="O50" s="148" t="str">
        <f t="shared" si="93"/>
        <v>Not Possible</v>
      </c>
      <c r="P50" s="148">
        <f t="shared" si="93"/>
        <v>6042.0213687577198</v>
      </c>
      <c r="Q50" s="148">
        <f t="shared" si="93"/>
        <v>12106.926643735365</v>
      </c>
      <c r="R50" s="148">
        <f t="shared" si="93"/>
        <v>6870.5865874424926</v>
      </c>
      <c r="S50" s="148">
        <f t="shared" si="93"/>
        <v>3931.3181637488597</v>
      </c>
      <c r="T50" s="148">
        <f t="shared" si="93"/>
        <v>650.27932262602553</v>
      </c>
    </row>
    <row r="51" spans="2:58">
      <c r="B51" s="59" t="s">
        <v>732</v>
      </c>
      <c r="C51" s="71" t="s">
        <v>613</v>
      </c>
      <c r="D51" s="148" t="str">
        <f t="shared" si="92"/>
        <v>Not Possible</v>
      </c>
      <c r="E51" s="148" t="str">
        <f t="shared" si="93"/>
        <v>Not Possible</v>
      </c>
      <c r="F51" s="148">
        <f t="shared" si="93"/>
        <v>867.03909683469101</v>
      </c>
      <c r="G51" s="148" t="str">
        <f t="shared" si="93"/>
        <v>Not Possible</v>
      </c>
      <c r="H51" s="148">
        <f t="shared" si="93"/>
        <v>4055.9049082687998</v>
      </c>
      <c r="I51" s="148" t="str">
        <f t="shared" si="93"/>
        <v>Not Possible</v>
      </c>
      <c r="J51" s="148">
        <f t="shared" si="93"/>
        <v>2866.7516308071354</v>
      </c>
      <c r="K51" s="148" t="str">
        <f t="shared" si="93"/>
        <v>Not Possible</v>
      </c>
      <c r="L51" s="148">
        <f t="shared" si="93"/>
        <v>4440.0345259738097</v>
      </c>
      <c r="M51" s="148" t="str">
        <f t="shared" si="93"/>
        <v>Not Possible</v>
      </c>
      <c r="N51" s="148">
        <f t="shared" si="93"/>
        <v>6371.2953255380853</v>
      </c>
      <c r="O51" s="148" t="str">
        <f t="shared" si="93"/>
        <v>Not Possible</v>
      </c>
      <c r="P51" s="148">
        <f t="shared" si="93"/>
        <v>6258.7811429663852</v>
      </c>
      <c r="Q51" s="148" t="str">
        <f t="shared" si="93"/>
        <v>Not Possible</v>
      </c>
      <c r="R51" s="148">
        <f t="shared" si="93"/>
        <v>7087.3463616511726</v>
      </c>
      <c r="S51" s="148">
        <f t="shared" si="93"/>
        <v>4148.0779379575251</v>
      </c>
      <c r="T51" s="148">
        <f t="shared" si="93"/>
        <v>867.03909683470556</v>
      </c>
    </row>
    <row r="52" spans="2:58">
      <c r="B52" s="59" t="s">
        <v>732</v>
      </c>
      <c r="C52" s="71" t="s">
        <v>614</v>
      </c>
      <c r="D52" s="148" t="str">
        <f t="shared" si="92"/>
        <v>Not Possible</v>
      </c>
      <c r="E52" s="148" t="str">
        <f t="shared" si="93"/>
        <v>Not Possible</v>
      </c>
      <c r="F52" s="148">
        <f t="shared" si="93"/>
        <v>1083.798871043371</v>
      </c>
      <c r="G52" s="148" t="str">
        <f t="shared" si="93"/>
        <v>Not Possible</v>
      </c>
      <c r="H52" s="148">
        <f t="shared" si="93"/>
        <v>4272.6646824774798</v>
      </c>
      <c r="I52" s="148" t="str">
        <f t="shared" si="93"/>
        <v>Not Possible</v>
      </c>
      <c r="J52" s="148">
        <f t="shared" si="93"/>
        <v>3083.5114050158154</v>
      </c>
      <c r="K52" s="148" t="str">
        <f t="shared" si="93"/>
        <v>Not Possible</v>
      </c>
      <c r="L52" s="148">
        <f t="shared" si="93"/>
        <v>4656.7943001824751</v>
      </c>
      <c r="M52" s="148" t="str">
        <f t="shared" si="93"/>
        <v>Not Possible</v>
      </c>
      <c r="N52" s="148">
        <f t="shared" si="93"/>
        <v>6588.0550997467653</v>
      </c>
      <c r="O52" s="148" t="str">
        <f t="shared" si="93"/>
        <v>Not Possible</v>
      </c>
      <c r="P52" s="148">
        <f t="shared" si="93"/>
        <v>6475.5409171750653</v>
      </c>
      <c r="Q52" s="148" t="str">
        <f t="shared" si="93"/>
        <v>Not Possible</v>
      </c>
      <c r="R52" s="148">
        <f t="shared" si="93"/>
        <v>7304.1061358598381</v>
      </c>
      <c r="S52" s="148">
        <f t="shared" si="93"/>
        <v>4364.8377121662052</v>
      </c>
      <c r="T52" s="148">
        <f t="shared" si="93"/>
        <v>1083.798871043371</v>
      </c>
    </row>
    <row r="53" spans="2:58">
      <c r="B53" s="59" t="s">
        <v>732</v>
      </c>
      <c r="C53" s="71" t="s">
        <v>615</v>
      </c>
      <c r="D53" s="148" t="str">
        <f t="shared" si="92"/>
        <v>Not Possible</v>
      </c>
      <c r="E53" s="148" t="str">
        <f t="shared" si="93"/>
        <v>Not Possible</v>
      </c>
      <c r="F53" s="148">
        <f t="shared" si="93"/>
        <v>2167.5977420867421</v>
      </c>
      <c r="G53" s="148" t="str">
        <f t="shared" si="93"/>
        <v>Not Possible</v>
      </c>
      <c r="H53" s="148">
        <f t="shared" si="93"/>
        <v>5356.4635535208363</v>
      </c>
      <c r="I53" s="148" t="str">
        <f t="shared" si="93"/>
        <v>Not Possible</v>
      </c>
      <c r="J53" s="148">
        <f t="shared" si="93"/>
        <v>5346.5364718394703</v>
      </c>
      <c r="K53" s="148" t="str">
        <f t="shared" si="93"/>
        <v>Not Possible</v>
      </c>
      <c r="L53" s="148">
        <f t="shared" si="93"/>
        <v>6821.8051129783562</v>
      </c>
      <c r="M53" s="148" t="str">
        <f t="shared" si="93"/>
        <v>Not Possible</v>
      </c>
      <c r="N53" s="148">
        <f t="shared" si="93"/>
        <v>8661.6999121795379</v>
      </c>
      <c r="O53" s="148" t="str">
        <f t="shared" si="93"/>
        <v>Not Possible</v>
      </c>
      <c r="P53" s="148">
        <f t="shared" si="93"/>
        <v>7559.3397882184363</v>
      </c>
      <c r="Q53" s="148" t="str">
        <f t="shared" si="93"/>
        <v>Not Possible</v>
      </c>
      <c r="R53" s="148">
        <f t="shared" si="93"/>
        <v>8387.9050069032091</v>
      </c>
      <c r="S53" s="148">
        <f t="shared" si="93"/>
        <v>5448.6365832095762</v>
      </c>
      <c r="T53" s="148">
        <f t="shared" si="93"/>
        <v>2167.5977420867421</v>
      </c>
    </row>
    <row r="54" spans="2:58">
      <c r="E54" s="11"/>
    </row>
    <row r="55" spans="2:58">
      <c r="B55" s="1" t="s">
        <v>669</v>
      </c>
      <c r="C55" s="106"/>
      <c r="E55" s="11"/>
      <c r="V55" s="51" t="s">
        <v>706</v>
      </c>
    </row>
    <row r="56" spans="2:58" s="118" customFormat="1" ht="72">
      <c r="B56" s="115" t="s">
        <v>666</v>
      </c>
      <c r="C56" s="116" t="s">
        <v>676</v>
      </c>
      <c r="D56" s="117" t="str">
        <f t="shared" ref="D56:T56" si="94">D3</f>
        <v>Part L 21</v>
      </c>
      <c r="E56" s="117" t="str">
        <f t="shared" si="94"/>
        <v xml:space="preserve">Notional Building C&amp;B </v>
      </c>
      <c r="F56" s="117" t="str">
        <f t="shared" si="94"/>
        <v xml:space="preserve">Notional Building C&amp;B </v>
      </c>
      <c r="G56" s="117" t="str">
        <f t="shared" si="94"/>
        <v>35 kWh/m2.year</v>
      </c>
      <c r="H56" s="117" t="str">
        <f t="shared" si="94"/>
        <v>35 kWh/m2.year</v>
      </c>
      <c r="I56" s="117" t="str">
        <f t="shared" si="94"/>
        <v>35 kWh/m2.year</v>
      </c>
      <c r="J56" s="117" t="str">
        <f t="shared" si="94"/>
        <v>35 kWh/m2.year</v>
      </c>
      <c r="K56" s="117" t="str">
        <f t="shared" si="94"/>
        <v>30 kWh/m2.year</v>
      </c>
      <c r="L56" s="117" t="str">
        <f t="shared" si="94"/>
        <v>30 kWh/m2.year</v>
      </c>
      <c r="M56" s="117" t="str">
        <f t="shared" si="94"/>
        <v>25 kWh/m2.year</v>
      </c>
      <c r="N56" s="117" t="str">
        <f t="shared" si="94"/>
        <v>25 kWh/m2.year</v>
      </c>
      <c r="O56" s="117" t="str">
        <f t="shared" si="94"/>
        <v>20 kWh/m2.year</v>
      </c>
      <c r="P56" s="117" t="str">
        <f t="shared" si="94"/>
        <v>20 kWh/m2.year</v>
      </c>
      <c r="Q56" s="117" t="str">
        <f t="shared" si="94"/>
        <v>15 kWh/m2.year (Passivhaus)</v>
      </c>
      <c r="R56" s="117" t="str">
        <f t="shared" si="94"/>
        <v>15 kWh/m2.year (Passivhaus)</v>
      </c>
      <c r="S56" s="117" t="str">
        <f t="shared" si="94"/>
        <v>FHS</v>
      </c>
      <c r="T56" s="117" t="str">
        <f t="shared" si="94"/>
        <v>Bespoke</v>
      </c>
      <c r="V56" s="139" t="s">
        <v>16</v>
      </c>
      <c r="W56" s="117" t="s">
        <v>343</v>
      </c>
      <c r="X56" s="117" t="s">
        <v>435</v>
      </c>
      <c r="Y56" s="117" t="s">
        <v>436</v>
      </c>
      <c r="Z56" s="117" t="s">
        <v>437</v>
      </c>
      <c r="AA56" s="117" t="s">
        <v>438</v>
      </c>
      <c r="AB56" s="117" t="s">
        <v>439</v>
      </c>
      <c r="AC56" s="117" t="s">
        <v>440</v>
      </c>
      <c r="AD56" s="117" t="s">
        <v>441</v>
      </c>
      <c r="AE56" s="117" t="s">
        <v>442</v>
      </c>
      <c r="AF56" s="117" t="s">
        <v>443</v>
      </c>
      <c r="AG56" s="117" t="s">
        <v>444</v>
      </c>
      <c r="AH56" s="117" t="s">
        <v>445</v>
      </c>
      <c r="AI56" s="117" t="s">
        <v>446</v>
      </c>
      <c r="AJ56" s="117" t="s">
        <v>447</v>
      </c>
      <c r="AK56" s="117" t="s">
        <v>677</v>
      </c>
      <c r="AL56" s="117" t="s">
        <v>351</v>
      </c>
      <c r="AM56" s="117" t="s">
        <v>791</v>
      </c>
      <c r="AO56" s="144" t="s">
        <v>16</v>
      </c>
      <c r="AP56" s="117" t="s">
        <v>343</v>
      </c>
      <c r="AQ56" s="117" t="s">
        <v>435</v>
      </c>
      <c r="AR56" s="117" t="s">
        <v>436</v>
      </c>
      <c r="AS56" s="117" t="s">
        <v>437</v>
      </c>
      <c r="AT56" s="117" t="s">
        <v>438</v>
      </c>
      <c r="AU56" s="117" t="s">
        <v>439</v>
      </c>
      <c r="AV56" s="117" t="s">
        <v>440</v>
      </c>
      <c r="AW56" s="117" t="s">
        <v>441</v>
      </c>
      <c r="AX56" s="117" t="s">
        <v>442</v>
      </c>
      <c r="AY56" s="117" t="s">
        <v>443</v>
      </c>
      <c r="AZ56" s="117" t="s">
        <v>444</v>
      </c>
      <c r="BA56" s="117" t="s">
        <v>445</v>
      </c>
      <c r="BB56" s="117" t="s">
        <v>446</v>
      </c>
      <c r="BC56" s="117" t="s">
        <v>447</v>
      </c>
      <c r="BD56" s="117" t="s">
        <v>677</v>
      </c>
      <c r="BE56" s="117" t="s">
        <v>351</v>
      </c>
      <c r="BF56" s="117" t="s">
        <v>791</v>
      </c>
    </row>
    <row r="57" spans="2:58">
      <c r="B57" s="112" t="s">
        <v>667</v>
      </c>
      <c r="C57" s="107"/>
      <c r="D57" s="61"/>
      <c r="E57" s="113"/>
      <c r="F57" s="61"/>
      <c r="G57" s="61"/>
      <c r="H57" s="61"/>
      <c r="I57" s="61"/>
      <c r="J57" s="61"/>
      <c r="K57" s="61"/>
      <c r="L57" s="61"/>
      <c r="M57" s="61"/>
      <c r="N57" s="61"/>
      <c r="O57" s="61"/>
      <c r="P57" s="61"/>
      <c r="Q57" s="61"/>
      <c r="R57" s="61"/>
      <c r="S57" s="61"/>
      <c r="T57" s="59"/>
      <c r="V57" s="112" t="s">
        <v>667</v>
      </c>
      <c r="W57" s="59"/>
      <c r="X57" s="59"/>
      <c r="Y57" s="59"/>
      <c r="Z57" s="59"/>
      <c r="AA57" s="59"/>
      <c r="AB57" s="59"/>
      <c r="AC57" s="59"/>
      <c r="AD57" s="59"/>
      <c r="AE57" s="59"/>
      <c r="AF57" s="59"/>
      <c r="AG57" s="59"/>
      <c r="AH57" s="59"/>
      <c r="AI57" s="59"/>
      <c r="AJ57" s="59"/>
      <c r="AK57" s="59"/>
      <c r="AL57" s="59"/>
      <c r="AM57" s="59"/>
      <c r="AO57" s="133" t="s">
        <v>667</v>
      </c>
      <c r="AP57" s="132"/>
      <c r="AQ57" s="132"/>
      <c r="AR57" s="132"/>
      <c r="AS57" s="132"/>
      <c r="AT57" s="132"/>
      <c r="AU57" s="132"/>
      <c r="AV57" s="132"/>
      <c r="AW57" s="132"/>
      <c r="AX57" s="132"/>
      <c r="AY57" s="132"/>
      <c r="AZ57" s="132"/>
      <c r="BA57" s="132"/>
      <c r="BB57" s="132"/>
      <c r="BC57" s="132"/>
      <c r="BD57" s="132"/>
      <c r="BE57" s="132"/>
      <c r="BF57" s="132"/>
    </row>
    <row r="58" spans="2:58" s="4" customFormat="1">
      <c r="B58" s="130" t="s">
        <v>609</v>
      </c>
      <c r="C58" s="127">
        <f>SAP!D159</f>
        <v>10.808029267367754</v>
      </c>
      <c r="D58" s="131">
        <f>IF(IF(D$39&lt;=$C58,D$26,(((D$39-$C58)/SAP!$C$10)*'C&amp;B'!$C$13/SAP!$C$143)+D$26)&lt;=SAP!$C$151,IF(D$39&lt;=$C58,D$26,(((D$39-$C58)/SAP!$C$10)*'C&amp;B'!$C$13/SAP!$C$143)+D$26),"Not Possible")</f>
        <v>3.6246153846153848</v>
      </c>
      <c r="E58" s="131">
        <f>IF(IF(E$39&lt;=$C58,E$26,(((E$39-$C58)/SAP!$C$10)*'C&amp;B'!$C$13/SAP!$C$143)+E$26)&lt;=SAP!$C$151,IF(E$39&lt;=$C58,E$26,(((E$39-$C58)/SAP!$C$10)*'C&amp;B'!$C$13/SAP!$C$143)+E$26),"Not Possible")</f>
        <v>4.7386666647094629</v>
      </c>
      <c r="F58" s="131">
        <f>IF(IF(F$39&lt;=$C58,F$26,(((F$39-$C58)/SAP!$C$10)*'C&amp;B'!$C$13/SAP!$C$143)+F$26)&lt;=SAP!$C$151,IF(F$39&lt;=$C58,F$26,(((F$39-$C58)/SAP!$C$10)*'C&amp;B'!$C$13/SAP!$C$143)+F$26),"Not Possible")</f>
        <v>0</v>
      </c>
      <c r="G58" s="131">
        <f>IF(IF(G$39&lt;=$C58,G$26,(((G$39-$C58)/SAP!$C$10)*'C&amp;B'!$C$13/SAP!$C$143)+G$26)&lt;=SAP!$C$151,IF(G$39&lt;=$C58,G$26,(((G$39-$C58)/SAP!$C$10)*'C&amp;B'!$C$13/SAP!$C$143)+G$26),"Not Possible")</f>
        <v>2.699621266996473</v>
      </c>
      <c r="H58" s="131">
        <f>IF(IF(H$39&lt;=$C58,H$26,(((H$39-$C58)/SAP!$C$10)*'C&amp;B'!$C$13/SAP!$C$143)+H$26)&lt;=SAP!$C$151,IF(H$39&lt;=$C58,H$26,(((H$39-$C58)/SAP!$C$10)*'C&amp;B'!$C$13/SAP!$C$143)+H$26),"Not Possible")</f>
        <v>0</v>
      </c>
      <c r="I58" s="131">
        <f>IF(IF(I$39&lt;=$C58,I$26,(((I$39-$C58)/SAP!$C$10)*'C&amp;B'!$C$13/SAP!$C$143)+I$26)&lt;=SAP!$C$151,IF(I$39&lt;=$C58,I$26,(((I$39-$C58)/SAP!$C$10)*'C&amp;B'!$C$13/SAP!$C$143)+I$26),"Not Possible")</f>
        <v>3.7830583255387848</v>
      </c>
      <c r="J58" s="131">
        <f>IF(IF(J$39&lt;=$C58,J$26,(((J$39-$C58)/SAP!$C$10)*'C&amp;B'!$C$13/SAP!$C$143)+J$26)&lt;=SAP!$C$151,IF(J$39&lt;=$C58,J$26,(((J$39-$C58)/SAP!$C$10)*'C&amp;B'!$C$13/SAP!$C$143)+J$26),"Not Possible")</f>
        <v>0</v>
      </c>
      <c r="K58" s="131">
        <f>IF(IF(K$39&lt;=$C58,K$26,(((K$39-$C58)/SAP!$C$10)*'C&amp;B'!$C$13/SAP!$C$143)+K$26)&lt;=SAP!$C$151,IF(K$39&lt;=$C58,K$26,(((K$39-$C58)/SAP!$C$10)*'C&amp;B'!$C$13/SAP!$C$143)+K$26),"Not Possible")</f>
        <v>2.6331704291235902</v>
      </c>
      <c r="L58" s="131">
        <f>IF(IF(L$39&lt;=$C58,L$26,(((L$39-$C58)/SAP!$C$10)*'C&amp;B'!$C$13/SAP!$C$143)+L$26)&lt;=SAP!$C$151,IF(L$39&lt;=$C58,L$26,(((L$39-$C58)/SAP!$C$10)*'C&amp;B'!$C$13/SAP!$C$143)+L$26),"Not Possible")</f>
        <v>0</v>
      </c>
      <c r="M58" s="131">
        <f>IF(IF(M$39&lt;=$C58,M$26,(((M$39-$C58)/SAP!$C$10)*'C&amp;B'!$C$13/SAP!$C$143)+M$26)&lt;=SAP!$C$151,IF(M$39&lt;=$C58,M$26,(((M$39-$C58)/SAP!$C$10)*'C&amp;B'!$C$13/SAP!$C$143)+M$26),"Not Possible")</f>
        <v>1.5612788047520585</v>
      </c>
      <c r="N58" s="131">
        <f>IF(IF(N$39&lt;=$C58,N$26,(((N$39-$C58)/SAP!$C$10)*'C&amp;B'!$C$13/SAP!$C$143)+N$26)&lt;=SAP!$C$151,IF(N$39&lt;=$C58,N$26,(((N$39-$C58)/SAP!$C$10)*'C&amp;B'!$C$13/SAP!$C$143)+N$26),"Not Possible")</f>
        <v>0</v>
      </c>
      <c r="O58" s="131">
        <f>IF(IF(O$39&lt;=$C58,O$26,(((O$39-$C58)/SAP!$C$10)*'C&amp;B'!$C$13/SAP!$C$143)+O$26)&lt;=SAP!$C$151,IF(O$39&lt;=$C58,O$26,(((O$39-$C58)/SAP!$C$10)*'C&amp;B'!$C$13/SAP!$C$143)+O$26),"Not Possible")</f>
        <v>0.45150327681646379</v>
      </c>
      <c r="P58" s="131">
        <f>IF(IF(P$39&lt;=$C58,P$26,(((P$39-$C58)/SAP!$C$10)*'C&amp;B'!$C$13/SAP!$C$143)+P$26)&lt;=SAP!$C$151,IF(P$39&lt;=$C58,P$26,(((P$39-$C58)/SAP!$C$10)*'C&amp;B'!$C$13/SAP!$C$143)+P$26),"Not Possible")</f>
        <v>0</v>
      </c>
      <c r="Q58" s="131">
        <f>IF(IF(Q$39&lt;=$C58,Q$26,(((Q$39-$C58)/SAP!$C$10)*'C&amp;B'!$C$13/SAP!$C$143)+Q$26)&lt;=SAP!$C$151,IF(Q$39&lt;=$C58,Q$26,(((Q$39-$C58)/SAP!$C$10)*'C&amp;B'!$C$13/SAP!$C$143)+Q$26),"Not Possible")</f>
        <v>0</v>
      </c>
      <c r="R58" s="131">
        <f>IF(IF(R$39&lt;=$C58,R$26,(((R$39-$C58)/SAP!$C$10)*'C&amp;B'!$C$13/SAP!$C$143)+R$26)&lt;=SAP!$C$151,IF(R$39&lt;=$C58,R$26,(((R$39-$C58)/SAP!$C$10)*'C&amp;B'!$C$13/SAP!$C$143)+R$26),"Not Possible")</f>
        <v>0</v>
      </c>
      <c r="S58" s="131">
        <f>IF(IF(S$39&lt;=$C58,S$26,(((S$39-$C58)/SAP!$C$10)*'C&amp;B'!$C$13/SAP!$C$143)+S$26)&lt;=SAP!$C$151,IF(S$39&lt;=$C58,S$26,(((S$39-$C58)/SAP!$C$10)*'C&amp;B'!$C$13/SAP!$C$143)+S$26),"Not Possible")</f>
        <v>0</v>
      </c>
      <c r="T58" s="131">
        <f>IF(IF(T$39&lt;=$C58,T$26,(((T$39-$C58)/SAP!$C$10)*'C&amp;B'!$C$13/SAP!$C$143)+T$26)&lt;=SAP!$C$151,IF(T$39&lt;=$C58,T$26,(((T$39-$C58)/SAP!$C$10)*'C&amp;B'!$C$13/SAP!$C$143)+T$26),"Not Possible")</f>
        <v>0</v>
      </c>
      <c r="V58" s="130" t="s">
        <v>609</v>
      </c>
      <c r="W58" s="82">
        <f>IF(D58=0,0,IF(D58&lt;4,'C&amp;B'!$E$316+(D58*'C&amp;B'!$E$317),D58*'C&amp;B'!$E$318))</f>
        <v>3274.7692307692309</v>
      </c>
      <c r="X58" s="82">
        <f>IF(E58=0,0,IF(E58&lt;4,'C&amp;B'!$E$316+(E58*'C&amp;B'!$E$317),E58*'C&amp;B'!$E$318))</f>
        <v>5212.5333311804088</v>
      </c>
      <c r="Y58" s="82">
        <f>IF(F58=0,0,IF(F58&lt;4,'C&amp;B'!$E$316+(F58*'C&amp;B'!$E$317),F58*'C&amp;B'!$E$318))</f>
        <v>0</v>
      </c>
      <c r="Z58" s="82">
        <f>IF(G58=0,0,IF(G58&lt;4,'C&amp;B'!$E$316+(G58*'C&amp;B'!$E$317),G58*'C&amp;B'!$E$318))</f>
        <v>2719.7727601978841</v>
      </c>
      <c r="AA58" s="82">
        <f>IF(H58=0,0,IF(H58&lt;4,'C&amp;B'!$E$316+(H58*'C&amp;B'!$E$317),H58*'C&amp;B'!$E$318))</f>
        <v>0</v>
      </c>
      <c r="AB58" s="82">
        <f>IF(I58=0,0,IF(I58&lt;4,'C&amp;B'!$E$316+(I58*'C&amp;B'!$E$317),I58*'C&amp;B'!$E$318))</f>
        <v>3369.834995323271</v>
      </c>
      <c r="AC58" s="82">
        <f>IF(J58=0,0,IF(J58&lt;4,'C&amp;B'!$E$316+(J58*'C&amp;B'!$E$317),J58*'C&amp;B'!$E$318))</f>
        <v>0</v>
      </c>
      <c r="AD58" s="82">
        <f>IF(K58=0,0,IF(K58&lt;4,'C&amp;B'!$E$316+(K58*'C&amp;B'!$E$317),K58*'C&amp;B'!$E$318))</f>
        <v>2679.9022574741539</v>
      </c>
      <c r="AE58" s="82">
        <f>IF(L58=0,0,IF(L58&lt;4,'C&amp;B'!$E$316+(L58*'C&amp;B'!$E$317),L58*'C&amp;B'!$E$318))</f>
        <v>0</v>
      </c>
      <c r="AF58" s="82">
        <f>IF(M58=0,0,IF(M58&lt;4,'C&amp;B'!$E$316+(M58*'C&amp;B'!$E$317),M58*'C&amp;B'!$E$318))</f>
        <v>2036.767282851235</v>
      </c>
      <c r="AG58" s="82">
        <f>IF(N58=0,0,IF(N58&lt;4,'C&amp;B'!$E$316+(N58*'C&amp;B'!$E$317),N58*'C&amp;B'!$E$318))</f>
        <v>0</v>
      </c>
      <c r="AH58" s="82">
        <f>IF(O58=0,0,IF(O58&lt;4,'C&amp;B'!$E$316+(O58*'C&amp;B'!$E$317),O58*'C&amp;B'!$E$318))</f>
        <v>1370.9019660898782</v>
      </c>
      <c r="AI58" s="82">
        <f>IF(P58=0,0,IF(P58&lt;4,'C&amp;B'!$E$316+(P58*'C&amp;B'!$E$317),P58*'C&amp;B'!$E$318))</f>
        <v>0</v>
      </c>
      <c r="AJ58" s="82">
        <f>IF(Q58=0,0,IF(Q58&lt;4,'C&amp;B'!$E$316+(Q58*'C&amp;B'!$E$317),Q58*'C&amp;B'!$E$318))</f>
        <v>0</v>
      </c>
      <c r="AK58" s="82">
        <f>IF(R58=0,0,IF(R58&lt;4,'C&amp;B'!$E$316+(R58*'C&amp;B'!$E$317),R58*'C&amp;B'!$E$318))</f>
        <v>0</v>
      </c>
      <c r="AL58" s="82">
        <f>IF(S58=0,0,IF(S58&lt;4,'C&amp;B'!$E$316+(S58*'C&amp;B'!$E$317),S58*'C&amp;B'!$E$318))</f>
        <v>0</v>
      </c>
      <c r="AM58" s="82">
        <f>IF(T58=0,0,IF(T58&lt;4,'C&amp;B'!$E$316+(T58*'C&amp;B'!$E$317),T58*'C&amp;B'!$E$318))</f>
        <v>0</v>
      </c>
      <c r="AO58" s="130" t="s">
        <v>609</v>
      </c>
      <c r="AP58" s="82">
        <f>AP$27-AP$26+W58</f>
        <v>74642.169230769228</v>
      </c>
      <c r="AQ58" s="82">
        <f t="shared" ref="AQ58:BF58" si="95">AQ$27-AQ$26+X58</f>
        <v>75145.133331180419</v>
      </c>
      <c r="AR58" s="82">
        <f t="shared" si="95"/>
        <v>70640.600000000006</v>
      </c>
      <c r="AS58" s="82">
        <f t="shared" si="95"/>
        <v>76025.572760197872</v>
      </c>
      <c r="AT58" s="82">
        <f t="shared" si="95"/>
        <v>74013.799999999988</v>
      </c>
      <c r="AU58" s="82">
        <f t="shared" si="95"/>
        <v>74823.834995323268</v>
      </c>
      <c r="AV58" s="82">
        <f t="shared" si="95"/>
        <v>72162</v>
      </c>
      <c r="AW58" s="82">
        <f t="shared" si="95"/>
        <v>75824.802257474148</v>
      </c>
      <c r="AX58" s="82">
        <f t="shared" si="95"/>
        <v>73852.899999999994</v>
      </c>
      <c r="AY58" s="82">
        <f t="shared" si="95"/>
        <v>77222.567282851218</v>
      </c>
      <c r="AZ58" s="82">
        <f t="shared" si="95"/>
        <v>75893.799999999988</v>
      </c>
      <c r="BA58" s="82">
        <f t="shared" si="95"/>
        <v>76557.701966089866</v>
      </c>
      <c r="BB58" s="82">
        <f t="shared" si="95"/>
        <v>75894.799999999988</v>
      </c>
      <c r="BC58" s="82">
        <f t="shared" si="95"/>
        <v>76126.600000000006</v>
      </c>
      <c r="BD58" s="82">
        <f t="shared" si="95"/>
        <v>76834.600000000006</v>
      </c>
      <c r="BE58" s="82">
        <f t="shared" si="95"/>
        <v>74010.799999999988</v>
      </c>
      <c r="BF58" s="82">
        <f t="shared" si="95"/>
        <v>70640.600000000006</v>
      </c>
    </row>
    <row r="59" spans="2:58" s="4" customFormat="1">
      <c r="B59" s="130" t="s">
        <v>610</v>
      </c>
      <c r="C59" s="127">
        <f>SAP!D160</f>
        <v>9.7272263406309794</v>
      </c>
      <c r="D59" s="131">
        <f>IF(IF(D$39&lt;=$C59,D$26,(((D$39-$C59)/SAP!$C$10)*'C&amp;B'!$C$13/SAP!$C$143)+D$26)&lt;=SAP!$C$151,IF(D$39&lt;=$C59,D$26,(((D$39-$C59)/SAP!$C$10)*'C&amp;B'!$C$13/SAP!$C$143)+D$26),"Not Possible")</f>
        <v>4.6511085301108999</v>
      </c>
      <c r="E59" s="131">
        <f>IF(IF(E$39&lt;=$C59,E$26,(((E$39-$C59)/SAP!$C$10)*'C&amp;B'!$C$13/SAP!$C$143)+E$26)&lt;=SAP!$C$151,IF(E$39&lt;=$C59,E$26,(((E$39-$C59)/SAP!$C$10)*'C&amp;B'!$C$13/SAP!$C$143)+E$26),"Not Possible")</f>
        <v>5.7651598102049775</v>
      </c>
      <c r="F59" s="131">
        <f>IF(IF(F$39&lt;=$C59,F$26,(((F$39-$C59)/SAP!$C$10)*'C&amp;B'!$C$13/SAP!$C$143)+F$26)&lt;=SAP!$C$151,IF(F$39&lt;=$C59,F$26,(((F$39-$C59)/SAP!$C$10)*'C&amp;B'!$C$13/SAP!$C$143)+F$26),"Not Possible")</f>
        <v>0</v>
      </c>
      <c r="G59" s="131">
        <f>IF(IF(G$39&lt;=$C59,G$26,(((G$39-$C59)/SAP!$C$10)*'C&amp;B'!$C$13/SAP!$C$143)+G$26)&lt;=SAP!$C$151,IF(G$39&lt;=$C59,G$26,(((G$39-$C59)/SAP!$C$10)*'C&amp;B'!$C$13/SAP!$C$143)+G$26),"Not Possible")</f>
        <v>3.7261144124919885</v>
      </c>
      <c r="H59" s="131">
        <f>IF(IF(H$39&lt;=$C59,H$26,(((H$39-$C59)/SAP!$C$10)*'C&amp;B'!$C$13/SAP!$C$143)+H$26)&lt;=SAP!$C$151,IF(H$39&lt;=$C59,H$26,(((H$39-$C59)/SAP!$C$10)*'C&amp;B'!$C$13/SAP!$C$143)+H$26),"Not Possible")</f>
        <v>0</v>
      </c>
      <c r="I59" s="131">
        <f>IF(IF(I$39&lt;=$C59,I$26,(((I$39-$C59)/SAP!$C$10)*'C&amp;B'!$C$13/SAP!$C$143)+I$26)&lt;=SAP!$C$151,IF(I$39&lt;=$C59,I$26,(((I$39-$C59)/SAP!$C$10)*'C&amp;B'!$C$13/SAP!$C$143)+I$26),"Not Possible")</f>
        <v>4.8095514710342995</v>
      </c>
      <c r="J59" s="131">
        <f>IF(IF(J$39&lt;=$C59,J$26,(((J$39-$C59)/SAP!$C$10)*'C&amp;B'!$C$13/SAP!$C$143)+J$26)&lt;=SAP!$C$151,IF(J$39&lt;=$C59,J$26,(((J$39-$C59)/SAP!$C$10)*'C&amp;B'!$C$13/SAP!$C$143)+J$26),"Not Possible")</f>
        <v>0</v>
      </c>
      <c r="K59" s="131">
        <f>IF(IF(K$39&lt;=$C59,K$26,(((K$39-$C59)/SAP!$C$10)*'C&amp;B'!$C$13/SAP!$C$143)+K$26)&lt;=SAP!$C$151,IF(K$39&lt;=$C59,K$26,(((K$39-$C59)/SAP!$C$10)*'C&amp;B'!$C$13/SAP!$C$143)+K$26),"Not Possible")</f>
        <v>3.6596635746191049</v>
      </c>
      <c r="L59" s="131">
        <f>IF(IF(L$39&lt;=$C59,L$26,(((L$39-$C59)/SAP!$C$10)*'C&amp;B'!$C$13/SAP!$C$143)+L$26)&lt;=SAP!$C$151,IF(L$39&lt;=$C59,L$26,(((L$39-$C59)/SAP!$C$10)*'C&amp;B'!$C$13/SAP!$C$143)+L$26),"Not Possible")</f>
        <v>0</v>
      </c>
      <c r="M59" s="131">
        <f>IF(IF(M$39&lt;=$C59,M$26,(((M$39-$C59)/SAP!$C$10)*'C&amp;B'!$C$13/SAP!$C$143)+M$26)&lt;=SAP!$C$151,IF(M$39&lt;=$C59,M$26,(((M$39-$C59)/SAP!$C$10)*'C&amp;B'!$C$13/SAP!$C$143)+M$26),"Not Possible")</f>
        <v>2.5877719502475731</v>
      </c>
      <c r="N59" s="131">
        <f>IF(IF(N$39&lt;=$C59,N$26,(((N$39-$C59)/SAP!$C$10)*'C&amp;B'!$C$13/SAP!$C$143)+N$26)&lt;=SAP!$C$151,IF(N$39&lt;=$C59,N$26,(((N$39-$C59)/SAP!$C$10)*'C&amp;B'!$C$13/SAP!$C$143)+N$26),"Not Possible")</f>
        <v>0</v>
      </c>
      <c r="O59" s="131">
        <f>IF(IF(O$39&lt;=$C59,O$26,(((O$39-$C59)/SAP!$C$10)*'C&amp;B'!$C$13/SAP!$C$143)+O$26)&lt;=SAP!$C$151,IF(O$39&lt;=$C59,O$26,(((O$39-$C59)/SAP!$C$10)*'C&amp;B'!$C$13/SAP!$C$143)+O$26),"Not Possible")</f>
        <v>1.4779964223119784</v>
      </c>
      <c r="P59" s="131">
        <f>IF(IF(P$39&lt;=$C59,P$26,(((P$39-$C59)/SAP!$C$10)*'C&amp;B'!$C$13/SAP!$C$143)+P$26)&lt;=SAP!$C$151,IF(P$39&lt;=$C59,P$26,(((P$39-$C59)/SAP!$C$10)*'C&amp;B'!$C$13/SAP!$C$143)+P$26),"Not Possible")</f>
        <v>0</v>
      </c>
      <c r="Q59" s="131">
        <f>IF(IF(Q$39&lt;=$C59,Q$26,(((Q$39-$C59)/SAP!$C$10)*'C&amp;B'!$C$13/SAP!$C$143)+Q$26)&lt;=SAP!$C$151,IF(Q$39&lt;=$C59,Q$26,(((Q$39-$C59)/SAP!$C$10)*'C&amp;B'!$C$13/SAP!$C$143)+Q$26),"Not Possible")</f>
        <v>0.39050554353171452</v>
      </c>
      <c r="R59" s="131">
        <f>IF(IF(R$39&lt;=$C59,R$26,(((R$39-$C59)/SAP!$C$10)*'C&amp;B'!$C$13/SAP!$C$143)+R$26)&lt;=SAP!$C$151,IF(R$39&lt;=$C59,R$26,(((R$39-$C59)/SAP!$C$10)*'C&amp;B'!$C$13/SAP!$C$143)+R$26),"Not Possible")</f>
        <v>0</v>
      </c>
      <c r="S59" s="131">
        <f>IF(IF(S$39&lt;=$C59,S$26,(((S$39-$C59)/SAP!$C$10)*'C&amp;B'!$C$13/SAP!$C$143)+S$26)&lt;=SAP!$C$151,IF(S$39&lt;=$C59,S$26,(((S$39-$C59)/SAP!$C$10)*'C&amp;B'!$C$13/SAP!$C$143)+S$26),"Not Possible")</f>
        <v>0</v>
      </c>
      <c r="T59" s="131">
        <f>IF(IF(T$39&lt;=$C59,T$26,(((T$39-$C59)/SAP!$C$10)*'C&amp;B'!$C$13/SAP!$C$143)+T$26)&lt;=SAP!$C$151,IF(T$39&lt;=$C59,T$26,(((T$39-$C59)/SAP!$C$10)*'C&amp;B'!$C$13/SAP!$C$143)+T$26),"Not Possible")</f>
        <v>0</v>
      </c>
      <c r="V59" s="130" t="s">
        <v>610</v>
      </c>
      <c r="W59" s="82">
        <f>IF(D59=0,0,IF(D59&lt;4,'C&amp;B'!$E$316+(D59*'C&amp;B'!$E$317),D59*'C&amp;B'!$E$318))</f>
        <v>5116.2193831219902</v>
      </c>
      <c r="X59" s="82">
        <f>IF(E59=0,0,IF(E59&lt;4,'C&amp;B'!$E$316+(E59*'C&amp;B'!$E$317),E59*'C&amp;B'!$E$318))</f>
        <v>6341.6757912254752</v>
      </c>
      <c r="Y59" s="82">
        <f>IF(F59=0,0,IF(F59&lt;4,'C&amp;B'!$E$316+(F59*'C&amp;B'!$E$317),F59*'C&amp;B'!$E$318))</f>
        <v>0</v>
      </c>
      <c r="Z59" s="82">
        <f>IF(G59=0,0,IF(G59&lt;4,'C&amp;B'!$E$316+(G59*'C&amp;B'!$E$317),G59*'C&amp;B'!$E$318))</f>
        <v>3335.668647495193</v>
      </c>
      <c r="AA59" s="82">
        <f>IF(H59=0,0,IF(H59&lt;4,'C&amp;B'!$E$316+(H59*'C&amp;B'!$E$317),H59*'C&amp;B'!$E$318))</f>
        <v>0</v>
      </c>
      <c r="AB59" s="82">
        <f>IF(I59=0,0,IF(I59&lt;4,'C&amp;B'!$E$316+(I59*'C&amp;B'!$E$317),I59*'C&amp;B'!$E$318))</f>
        <v>5290.5066181377297</v>
      </c>
      <c r="AC59" s="82">
        <f>IF(J59=0,0,IF(J59&lt;4,'C&amp;B'!$E$316+(J59*'C&amp;B'!$E$317),J59*'C&amp;B'!$E$318))</f>
        <v>0</v>
      </c>
      <c r="AD59" s="82">
        <f>IF(K59=0,0,IF(K59&lt;4,'C&amp;B'!$E$316+(K59*'C&amp;B'!$E$317),K59*'C&amp;B'!$E$318))</f>
        <v>3295.7981447714628</v>
      </c>
      <c r="AE59" s="82">
        <f>IF(L59=0,0,IF(L59&lt;4,'C&amp;B'!$E$316+(L59*'C&amp;B'!$E$317),L59*'C&amp;B'!$E$318))</f>
        <v>0</v>
      </c>
      <c r="AF59" s="82">
        <f>IF(M59=0,0,IF(M59&lt;4,'C&amp;B'!$E$316+(M59*'C&amp;B'!$E$317),M59*'C&amp;B'!$E$318))</f>
        <v>2652.6631701485439</v>
      </c>
      <c r="AG59" s="82">
        <f>IF(N59=0,0,IF(N59&lt;4,'C&amp;B'!$E$316+(N59*'C&amp;B'!$E$317),N59*'C&amp;B'!$E$318))</f>
        <v>0</v>
      </c>
      <c r="AH59" s="82">
        <f>IF(O59=0,0,IF(O59&lt;4,'C&amp;B'!$E$316+(O59*'C&amp;B'!$E$317),O59*'C&amp;B'!$E$318))</f>
        <v>1986.7978533871869</v>
      </c>
      <c r="AI59" s="82">
        <f>IF(P59=0,0,IF(P59&lt;4,'C&amp;B'!$E$316+(P59*'C&amp;B'!$E$317),P59*'C&amp;B'!$E$318))</f>
        <v>0</v>
      </c>
      <c r="AJ59" s="82">
        <f>IF(Q59=0,0,IF(Q59&lt;4,'C&amp;B'!$E$316+(Q59*'C&amp;B'!$E$317),Q59*'C&amp;B'!$E$318))</f>
        <v>1334.3033261190287</v>
      </c>
      <c r="AK59" s="82">
        <f>IF(R59=0,0,IF(R59&lt;4,'C&amp;B'!$E$316+(R59*'C&amp;B'!$E$317),R59*'C&amp;B'!$E$318))</f>
        <v>0</v>
      </c>
      <c r="AL59" s="82">
        <f>IF(S59=0,0,IF(S59&lt;4,'C&amp;B'!$E$316+(S59*'C&amp;B'!$E$317),S59*'C&amp;B'!$E$318))</f>
        <v>0</v>
      </c>
      <c r="AM59" s="82">
        <f>IF(T59=0,0,IF(T59&lt;4,'C&amp;B'!$E$316+(T59*'C&amp;B'!$E$317),T59*'C&amp;B'!$E$318))</f>
        <v>0</v>
      </c>
      <c r="AO59" s="130" t="s">
        <v>610</v>
      </c>
      <c r="AP59" s="82">
        <f t="shared" ref="AP59:AP64" si="96">AP$27-AP$26+W59</f>
        <v>76483.619383121986</v>
      </c>
      <c r="AQ59" s="82">
        <f t="shared" ref="AQ59:AQ64" si="97">AQ$27-AQ$26+X59</f>
        <v>76274.275791225475</v>
      </c>
      <c r="AR59" s="82">
        <f t="shared" ref="AR59:AR64" si="98">AR$27-AR$26+Y59</f>
        <v>70640.600000000006</v>
      </c>
      <c r="AS59" s="82">
        <f t="shared" ref="AS59:AS64" si="99">AS$27-AS$26+Z59</f>
        <v>76641.468647495174</v>
      </c>
      <c r="AT59" s="82">
        <f t="shared" ref="AT59:AT64" si="100">AT$27-AT$26+AA59</f>
        <v>74013.799999999988</v>
      </c>
      <c r="AU59" s="82">
        <f t="shared" ref="AU59:AU64" si="101">AU$27-AU$26+AB59</f>
        <v>76744.506618137733</v>
      </c>
      <c r="AV59" s="82">
        <f t="shared" ref="AV59:AV64" si="102">AV$27-AV$26+AC59</f>
        <v>72162</v>
      </c>
      <c r="AW59" s="82">
        <f t="shared" ref="AW59:AW64" si="103">AW$27-AW$26+AD59</f>
        <v>76440.69814477145</v>
      </c>
      <c r="AX59" s="82">
        <f t="shared" ref="AX59:AX64" si="104">AX$27-AX$26+AE59</f>
        <v>73852.899999999994</v>
      </c>
      <c r="AY59" s="82">
        <f t="shared" ref="AY59:AY64" si="105">AY$27-AY$26+AF59</f>
        <v>77838.463170148534</v>
      </c>
      <c r="AZ59" s="82">
        <f t="shared" ref="AZ59:AZ64" si="106">AZ$27-AZ$26+AG59</f>
        <v>75893.799999999988</v>
      </c>
      <c r="BA59" s="82">
        <f t="shared" ref="BA59:BA64" si="107">BA$27-BA$26+AH59</f>
        <v>77173.597853387182</v>
      </c>
      <c r="BB59" s="82">
        <f t="shared" ref="BB59:BB64" si="108">BB$27-BB$26+AI59</f>
        <v>75894.799999999988</v>
      </c>
      <c r="BC59" s="82">
        <f t="shared" ref="BC59:BC64" si="109">BC$27-BC$26+AJ59</f>
        <v>77460.903326119034</v>
      </c>
      <c r="BD59" s="82">
        <f t="shared" ref="BD59:BD64" si="110">BD$27-BD$26+AK59</f>
        <v>76834.600000000006</v>
      </c>
      <c r="BE59" s="82">
        <f t="shared" ref="BE59:BE64" si="111">BE$27-BE$26+AL59</f>
        <v>74010.799999999988</v>
      </c>
      <c r="BF59" s="82">
        <f t="shared" ref="BF59:BF64" si="112">BF$27-BF$26+AM59</f>
        <v>70640.600000000006</v>
      </c>
    </row>
    <row r="60" spans="2:58" s="4" customFormat="1">
      <c r="B60" s="130" t="s">
        <v>611</v>
      </c>
      <c r="C60" s="127">
        <f>SAP!D161</f>
        <v>8.6464234138942029</v>
      </c>
      <c r="D60" s="131">
        <f>IF(IF(D$39&lt;=$C60,D$26,(((D$39-$C60)/SAP!$C$10)*'C&amp;B'!$C$13/SAP!$C$143)+D$26)&lt;=SAP!$C$151,IF(D$39&lt;=$C60,D$26,(((D$39-$C60)/SAP!$C$10)*'C&amp;B'!$C$13/SAP!$C$143)+D$26),"Not Possible")</f>
        <v>5.6776016756064163</v>
      </c>
      <c r="E60" s="131">
        <f>IF(IF(E$39&lt;=$C60,E$26,(((E$39-$C60)/SAP!$C$10)*'C&amp;B'!$C$13/SAP!$C$143)+E$26)&lt;=SAP!$C$151,IF(E$39&lt;=$C60,E$26,(((E$39-$C60)/SAP!$C$10)*'C&amp;B'!$C$13/SAP!$C$143)+E$26),"Not Possible")</f>
        <v>6.791652955700493</v>
      </c>
      <c r="F60" s="131">
        <f>IF(IF(F$39&lt;=$C60,F$26,(((F$39-$C60)/SAP!$C$10)*'C&amp;B'!$C$13/SAP!$C$143)+F$26)&lt;=SAP!$C$151,IF(F$39&lt;=$C60,F$26,(((F$39-$C60)/SAP!$C$10)*'C&amp;B'!$C$13/SAP!$C$143)+F$26),"Not Possible")</f>
        <v>0</v>
      </c>
      <c r="G60" s="131">
        <f>IF(IF(G$39&lt;=$C60,G$26,(((G$39-$C60)/SAP!$C$10)*'C&amp;B'!$C$13/SAP!$C$143)+G$26)&lt;=SAP!$C$151,IF(G$39&lt;=$C60,G$26,(((G$39-$C60)/SAP!$C$10)*'C&amp;B'!$C$13/SAP!$C$143)+G$26),"Not Possible")</f>
        <v>4.7526075579875044</v>
      </c>
      <c r="H60" s="131">
        <f>IF(IF(H$39&lt;=$C60,H$26,(((H$39-$C60)/SAP!$C$10)*'C&amp;B'!$C$13/SAP!$C$143)+H$26)&lt;=SAP!$C$151,IF(H$39&lt;=$C60,H$26,(((H$39-$C60)/SAP!$C$10)*'C&amp;B'!$C$13/SAP!$C$143)+H$26),"Not Possible")</f>
        <v>0</v>
      </c>
      <c r="I60" s="131">
        <f>IF(IF(I$39&lt;=$C60,I$26,(((I$39-$C60)/SAP!$C$10)*'C&amp;B'!$C$13/SAP!$C$143)+I$26)&lt;=SAP!$C$151,IF(I$39&lt;=$C60,I$26,(((I$39-$C60)/SAP!$C$10)*'C&amp;B'!$C$13/SAP!$C$143)+I$26),"Not Possible")</f>
        <v>5.8360446165298168</v>
      </c>
      <c r="J60" s="131">
        <f>IF(IF(J$39&lt;=$C60,J$26,(((J$39-$C60)/SAP!$C$10)*'C&amp;B'!$C$13/SAP!$C$143)+J$26)&lt;=SAP!$C$151,IF(J$39&lt;=$C60,J$26,(((J$39-$C60)/SAP!$C$10)*'C&amp;B'!$C$13/SAP!$C$143)+J$26),"Not Possible")</f>
        <v>0</v>
      </c>
      <c r="K60" s="131">
        <f>IF(IF(K$39&lt;=$C60,K$26,(((K$39-$C60)/SAP!$C$10)*'C&amp;B'!$C$13/SAP!$C$143)+K$26)&lt;=SAP!$C$151,IF(K$39&lt;=$C60,K$26,(((K$39-$C60)/SAP!$C$10)*'C&amp;B'!$C$13/SAP!$C$143)+K$26),"Not Possible")</f>
        <v>4.6861567201146208</v>
      </c>
      <c r="L60" s="131">
        <f>IF(IF(L$39&lt;=$C60,L$26,(((L$39-$C60)/SAP!$C$10)*'C&amp;B'!$C$13/SAP!$C$143)+L$26)&lt;=SAP!$C$151,IF(L$39&lt;=$C60,L$26,(((L$39-$C60)/SAP!$C$10)*'C&amp;B'!$C$13/SAP!$C$143)+L$26),"Not Possible")</f>
        <v>0</v>
      </c>
      <c r="M60" s="131">
        <f>IF(IF(M$39&lt;=$C60,M$26,(((M$39-$C60)/SAP!$C$10)*'C&amp;B'!$C$13/SAP!$C$143)+M$26)&lt;=SAP!$C$151,IF(M$39&lt;=$C60,M$26,(((M$39-$C60)/SAP!$C$10)*'C&amp;B'!$C$13/SAP!$C$143)+M$26),"Not Possible")</f>
        <v>3.6142650957430895</v>
      </c>
      <c r="N60" s="131">
        <f>IF(IF(N$39&lt;=$C60,N$26,(((N$39-$C60)/SAP!$C$10)*'C&amp;B'!$C$13/SAP!$C$143)+N$26)&lt;=SAP!$C$151,IF(N$39&lt;=$C60,N$26,(((N$39-$C60)/SAP!$C$10)*'C&amp;B'!$C$13/SAP!$C$143)+N$26),"Not Possible")</f>
        <v>0</v>
      </c>
      <c r="O60" s="131">
        <f>IF(IF(O$39&lt;=$C60,O$26,(((O$39-$C60)/SAP!$C$10)*'C&amp;B'!$C$13/SAP!$C$143)+O$26)&lt;=SAP!$C$151,IF(O$39&lt;=$C60,O$26,(((O$39-$C60)/SAP!$C$10)*'C&amp;B'!$C$13/SAP!$C$143)+O$26),"Not Possible")</f>
        <v>2.5044895678074948</v>
      </c>
      <c r="P60" s="131">
        <f>IF(IF(P$39&lt;=$C60,P$26,(((P$39-$C60)/SAP!$C$10)*'C&amp;B'!$C$13/SAP!$C$143)+P$26)&lt;=SAP!$C$151,IF(P$39&lt;=$C60,P$26,(((P$39-$C60)/SAP!$C$10)*'C&amp;B'!$C$13/SAP!$C$143)+P$26),"Not Possible")</f>
        <v>0</v>
      </c>
      <c r="Q60" s="131">
        <f>IF(IF(Q$39&lt;=$C60,Q$26,(((Q$39-$C60)/SAP!$C$10)*'C&amp;B'!$C$13/SAP!$C$143)+Q$26)&lt;=SAP!$C$151,IF(Q$39&lt;=$C60,Q$26,(((Q$39-$C60)/SAP!$C$10)*'C&amp;B'!$C$13/SAP!$C$143)+Q$26),"Not Possible")</f>
        <v>1.4169986890272308</v>
      </c>
      <c r="R60" s="131">
        <f>IF(IF(R$39&lt;=$C60,R$26,(((R$39-$C60)/SAP!$C$10)*'C&amp;B'!$C$13/SAP!$C$143)+R$26)&lt;=SAP!$C$151,IF(R$39&lt;=$C60,R$26,(((R$39-$C60)/SAP!$C$10)*'C&amp;B'!$C$13/SAP!$C$143)+R$26),"Not Possible")</f>
        <v>0</v>
      </c>
      <c r="S60" s="131">
        <f>IF(IF(S$39&lt;=$C60,S$26,(((S$39-$C60)/SAP!$C$10)*'C&amp;B'!$C$13/SAP!$C$143)+S$26)&lt;=SAP!$C$151,IF(S$39&lt;=$C60,S$26,(((S$39-$C60)/SAP!$C$10)*'C&amp;B'!$C$13/SAP!$C$143)+S$26),"Not Possible")</f>
        <v>0</v>
      </c>
      <c r="T60" s="131">
        <f>IF(IF(T$39&lt;=$C60,T$26,(((T$39-$C60)/SAP!$C$10)*'C&amp;B'!$C$13/SAP!$C$143)+T$26)&lt;=SAP!$C$151,IF(T$39&lt;=$C60,T$26,(((T$39-$C60)/SAP!$C$10)*'C&amp;B'!$C$13/SAP!$C$143)+T$26),"Not Possible")</f>
        <v>0</v>
      </c>
      <c r="V60" s="130" t="s">
        <v>611</v>
      </c>
      <c r="W60" s="82">
        <f>IF(D60=0,0,IF(D60&lt;4,'C&amp;B'!$E$316+(D60*'C&amp;B'!$E$317),D60*'C&amp;B'!$E$318))</f>
        <v>6245.3618431670575</v>
      </c>
      <c r="X60" s="82">
        <f>IF(E60=0,0,IF(E60&lt;4,'C&amp;B'!$E$316+(E60*'C&amp;B'!$E$317),E60*'C&amp;B'!$E$318))</f>
        <v>7470.8182512705425</v>
      </c>
      <c r="Y60" s="82">
        <f>IF(F60=0,0,IF(F60&lt;4,'C&amp;B'!$E$316+(F60*'C&amp;B'!$E$317),F60*'C&amp;B'!$E$318))</f>
        <v>0</v>
      </c>
      <c r="Z60" s="82">
        <f>IF(G60=0,0,IF(G60&lt;4,'C&amp;B'!$E$316+(G60*'C&amp;B'!$E$317),G60*'C&amp;B'!$E$318))</f>
        <v>5227.8683137862545</v>
      </c>
      <c r="AA60" s="82">
        <f>IF(H60=0,0,IF(H60&lt;4,'C&amp;B'!$E$316+(H60*'C&amp;B'!$E$317),H60*'C&amp;B'!$E$318))</f>
        <v>0</v>
      </c>
      <c r="AB60" s="82">
        <f>IF(I60=0,0,IF(I60&lt;4,'C&amp;B'!$E$316+(I60*'C&amp;B'!$E$317),I60*'C&amp;B'!$E$318))</f>
        <v>6419.6490781827988</v>
      </c>
      <c r="AC60" s="82">
        <f>IF(J60=0,0,IF(J60&lt;4,'C&amp;B'!$E$316+(J60*'C&amp;B'!$E$317),J60*'C&amp;B'!$E$318))</f>
        <v>0</v>
      </c>
      <c r="AD60" s="82">
        <f>IF(K60=0,0,IF(K60&lt;4,'C&amp;B'!$E$316+(K60*'C&amp;B'!$E$317),K60*'C&amp;B'!$E$318))</f>
        <v>5154.7723921260831</v>
      </c>
      <c r="AE60" s="82">
        <f>IF(L60=0,0,IF(L60&lt;4,'C&amp;B'!$E$316+(L60*'C&amp;B'!$E$317),L60*'C&amp;B'!$E$318))</f>
        <v>0</v>
      </c>
      <c r="AF60" s="82">
        <f>IF(M60=0,0,IF(M60&lt;4,'C&amp;B'!$E$316+(M60*'C&amp;B'!$E$317),M60*'C&amp;B'!$E$318))</f>
        <v>3268.5590574458538</v>
      </c>
      <c r="AG60" s="82">
        <f>IF(N60=0,0,IF(N60&lt;4,'C&amp;B'!$E$316+(N60*'C&amp;B'!$E$317),N60*'C&amp;B'!$E$318))</f>
        <v>0</v>
      </c>
      <c r="AH60" s="82">
        <f>IF(O60=0,0,IF(O60&lt;4,'C&amp;B'!$E$316+(O60*'C&amp;B'!$E$317),O60*'C&amp;B'!$E$318))</f>
        <v>2602.6937406844968</v>
      </c>
      <c r="AI60" s="82">
        <f>IF(P60=0,0,IF(P60&lt;4,'C&amp;B'!$E$316+(P60*'C&amp;B'!$E$317),P60*'C&amp;B'!$E$318))</f>
        <v>0</v>
      </c>
      <c r="AJ60" s="82">
        <f>IF(Q60=0,0,IF(Q60&lt;4,'C&amp;B'!$E$316+(Q60*'C&amp;B'!$E$317),Q60*'C&amp;B'!$E$318))</f>
        <v>1950.1992134163384</v>
      </c>
      <c r="AK60" s="82">
        <f>IF(R60=0,0,IF(R60&lt;4,'C&amp;B'!$E$316+(R60*'C&amp;B'!$E$317),R60*'C&amp;B'!$E$318))</f>
        <v>0</v>
      </c>
      <c r="AL60" s="82">
        <f>IF(S60=0,0,IF(S60&lt;4,'C&amp;B'!$E$316+(S60*'C&amp;B'!$E$317),S60*'C&amp;B'!$E$318))</f>
        <v>0</v>
      </c>
      <c r="AM60" s="82">
        <f>IF(T60=0,0,IF(T60&lt;4,'C&amp;B'!$E$316+(T60*'C&amp;B'!$E$317),T60*'C&amp;B'!$E$318))</f>
        <v>0</v>
      </c>
      <c r="AO60" s="130" t="s">
        <v>611</v>
      </c>
      <c r="AP60" s="82">
        <f t="shared" si="96"/>
        <v>77612.761843167056</v>
      </c>
      <c r="AQ60" s="82">
        <f t="shared" si="97"/>
        <v>77403.418251270545</v>
      </c>
      <c r="AR60" s="82">
        <f t="shared" si="98"/>
        <v>70640.600000000006</v>
      </c>
      <c r="AS60" s="82">
        <f t="shared" si="99"/>
        <v>78533.668313786242</v>
      </c>
      <c r="AT60" s="82">
        <f t="shared" si="100"/>
        <v>74013.799999999988</v>
      </c>
      <c r="AU60" s="82">
        <f t="shared" si="101"/>
        <v>77873.649078182803</v>
      </c>
      <c r="AV60" s="82">
        <f t="shared" si="102"/>
        <v>72162</v>
      </c>
      <c r="AW60" s="82">
        <f t="shared" si="103"/>
        <v>78299.672392126071</v>
      </c>
      <c r="AX60" s="82">
        <f t="shared" si="104"/>
        <v>73852.899999999994</v>
      </c>
      <c r="AY60" s="82">
        <f t="shared" si="105"/>
        <v>78454.359057445836</v>
      </c>
      <c r="AZ60" s="82">
        <f t="shared" si="106"/>
        <v>75893.799999999988</v>
      </c>
      <c r="BA60" s="82">
        <f t="shared" si="107"/>
        <v>77789.493740684484</v>
      </c>
      <c r="BB60" s="82">
        <f t="shared" si="108"/>
        <v>75894.799999999988</v>
      </c>
      <c r="BC60" s="82">
        <f t="shared" si="109"/>
        <v>78076.799213416351</v>
      </c>
      <c r="BD60" s="82">
        <f t="shared" si="110"/>
        <v>76834.600000000006</v>
      </c>
      <c r="BE60" s="82">
        <f t="shared" si="111"/>
        <v>74010.799999999988</v>
      </c>
      <c r="BF60" s="82">
        <f t="shared" si="112"/>
        <v>70640.600000000006</v>
      </c>
    </row>
    <row r="61" spans="2:58" s="4" customFormat="1">
      <c r="B61" s="130" t="s">
        <v>612</v>
      </c>
      <c r="C61" s="127">
        <f>SAP!D162</f>
        <v>7.5656204871574273</v>
      </c>
      <c r="D61" s="131">
        <f>IF(IF(D$39&lt;=$C61,D$26,(((D$39-$C61)/SAP!$C$10)*'C&amp;B'!$C$13/SAP!$C$143)+D$26)&lt;=SAP!$C$151,IF(D$39&lt;=$C61,D$26,(((D$39-$C61)/SAP!$C$10)*'C&amp;B'!$C$13/SAP!$C$143)+D$26),"Not Possible")</f>
        <v>6.7040948211019309</v>
      </c>
      <c r="E61" s="131" t="str">
        <f>IF(IF(E$39&lt;=$C61,E$26,(((E$39-$C61)/SAP!$C$10)*'C&amp;B'!$C$13/SAP!$C$143)+E$26)&lt;=SAP!$C$151,IF(E$39&lt;=$C61,E$26,(((E$39-$C61)/SAP!$C$10)*'C&amp;B'!$C$13/SAP!$C$143)+E$26),"Not Possible")</f>
        <v>Not Possible</v>
      </c>
      <c r="F61" s="131">
        <f>IF(IF(F$39&lt;=$C61,F$26,(((F$39-$C61)/SAP!$C$10)*'C&amp;B'!$C$13/SAP!$C$143)+F$26)&lt;=SAP!$C$151,IF(F$39&lt;=$C61,F$26,(((F$39-$C61)/SAP!$C$10)*'C&amp;B'!$C$13/SAP!$C$143)+F$26),"Not Possible")</f>
        <v>0</v>
      </c>
      <c r="G61" s="131">
        <f>IF(IF(G$39&lt;=$C61,G$26,(((G$39-$C61)/SAP!$C$10)*'C&amp;B'!$C$13/SAP!$C$143)+G$26)&lt;=SAP!$C$151,IF(G$39&lt;=$C61,G$26,(((G$39-$C61)/SAP!$C$10)*'C&amp;B'!$C$13/SAP!$C$143)+G$26),"Not Possible")</f>
        <v>5.7791007034830191</v>
      </c>
      <c r="H61" s="131">
        <f>IF(IF(H$39&lt;=$C61,H$26,(((H$39-$C61)/SAP!$C$10)*'C&amp;B'!$C$13/SAP!$C$143)+H$26)&lt;=SAP!$C$151,IF(H$39&lt;=$C61,H$26,(((H$39-$C61)/SAP!$C$10)*'C&amp;B'!$C$13/SAP!$C$143)+H$26),"Not Possible")</f>
        <v>0</v>
      </c>
      <c r="I61" s="131">
        <f>IF(IF(I$39&lt;=$C61,I$26,(((I$39-$C61)/SAP!$C$10)*'C&amp;B'!$C$13/SAP!$C$143)+I$26)&lt;=SAP!$C$151,IF(I$39&lt;=$C61,I$26,(((I$39-$C61)/SAP!$C$10)*'C&amp;B'!$C$13/SAP!$C$143)+I$26),"Not Possible")</f>
        <v>6.8625377620253323</v>
      </c>
      <c r="J61" s="131">
        <f>IF(IF(J$39&lt;=$C61,J$26,(((J$39-$C61)/SAP!$C$10)*'C&amp;B'!$C$13/SAP!$C$143)+J$26)&lt;=SAP!$C$151,IF(J$39&lt;=$C61,J$26,(((J$39-$C61)/SAP!$C$10)*'C&amp;B'!$C$13/SAP!$C$143)+J$26),"Not Possible")</f>
        <v>0</v>
      </c>
      <c r="K61" s="131">
        <f>IF(IF(K$39&lt;=$C61,K$26,(((K$39-$C61)/SAP!$C$10)*'C&amp;B'!$C$13/SAP!$C$143)+K$26)&lt;=SAP!$C$151,IF(K$39&lt;=$C61,K$26,(((K$39-$C61)/SAP!$C$10)*'C&amp;B'!$C$13/SAP!$C$143)+K$26),"Not Possible")</f>
        <v>5.7126498656101363</v>
      </c>
      <c r="L61" s="131">
        <f>IF(IF(L$39&lt;=$C61,L$26,(((L$39-$C61)/SAP!$C$10)*'C&amp;B'!$C$13/SAP!$C$143)+L$26)&lt;=SAP!$C$151,IF(L$39&lt;=$C61,L$26,(((L$39-$C61)/SAP!$C$10)*'C&amp;B'!$C$13/SAP!$C$143)+L$26),"Not Possible")</f>
        <v>0</v>
      </c>
      <c r="M61" s="131">
        <f>IF(IF(M$39&lt;=$C61,M$26,(((M$39-$C61)/SAP!$C$10)*'C&amp;B'!$C$13/SAP!$C$143)+M$26)&lt;=SAP!$C$151,IF(M$39&lt;=$C61,M$26,(((M$39-$C61)/SAP!$C$10)*'C&amp;B'!$C$13/SAP!$C$143)+M$26),"Not Possible")</f>
        <v>4.640758241238605</v>
      </c>
      <c r="N61" s="131">
        <f>IF(IF(N$39&lt;=$C61,N$26,(((N$39-$C61)/SAP!$C$10)*'C&amp;B'!$C$13/SAP!$C$143)+N$26)&lt;=SAP!$C$151,IF(N$39&lt;=$C61,N$26,(((N$39-$C61)/SAP!$C$10)*'C&amp;B'!$C$13/SAP!$C$143)+N$26),"Not Possible")</f>
        <v>0</v>
      </c>
      <c r="O61" s="131">
        <f>IF(IF(O$39&lt;=$C61,O$26,(((O$39-$C61)/SAP!$C$10)*'C&amp;B'!$C$13/SAP!$C$143)+O$26)&lt;=SAP!$C$151,IF(O$39&lt;=$C61,O$26,(((O$39-$C61)/SAP!$C$10)*'C&amp;B'!$C$13/SAP!$C$143)+O$26),"Not Possible")</f>
        <v>3.5309827133030103</v>
      </c>
      <c r="P61" s="131">
        <f>IF(IF(P$39&lt;=$C61,P$26,(((P$39-$C61)/SAP!$C$10)*'C&amp;B'!$C$13/SAP!$C$143)+P$26)&lt;=SAP!$C$151,IF(P$39&lt;=$C61,P$26,(((P$39-$C61)/SAP!$C$10)*'C&amp;B'!$C$13/SAP!$C$143)+P$26),"Not Possible")</f>
        <v>0</v>
      </c>
      <c r="Q61" s="131">
        <f>IF(IF(Q$39&lt;=$C61,Q$26,(((Q$39-$C61)/SAP!$C$10)*'C&amp;B'!$C$13/SAP!$C$143)+Q$26)&lt;=SAP!$C$151,IF(Q$39&lt;=$C61,Q$26,(((Q$39-$C61)/SAP!$C$10)*'C&amp;B'!$C$13/SAP!$C$143)+Q$26),"Not Possible")</f>
        <v>2.4434918345227463</v>
      </c>
      <c r="R61" s="131">
        <f>IF(IF(R$39&lt;=$C61,R$26,(((R$39-$C61)/SAP!$C$10)*'C&amp;B'!$C$13/SAP!$C$143)+R$26)&lt;=SAP!$C$151,IF(R$39&lt;=$C61,R$26,(((R$39-$C61)/SAP!$C$10)*'C&amp;B'!$C$13/SAP!$C$143)+R$26),"Not Possible")</f>
        <v>0</v>
      </c>
      <c r="S61" s="131">
        <f>IF(IF(S$39&lt;=$C61,S$26,(((S$39-$C61)/SAP!$C$10)*'C&amp;B'!$C$13/SAP!$C$143)+S$26)&lt;=SAP!$C$151,IF(S$39&lt;=$C61,S$26,(((S$39-$C61)/SAP!$C$10)*'C&amp;B'!$C$13/SAP!$C$143)+S$26),"Not Possible")</f>
        <v>0</v>
      </c>
      <c r="T61" s="131">
        <f>IF(IF(T$39&lt;=$C61,T$26,(((T$39-$C61)/SAP!$C$10)*'C&amp;B'!$C$13/SAP!$C$143)+T$26)&lt;=SAP!$C$151,IF(T$39&lt;=$C61,T$26,(((T$39-$C61)/SAP!$C$10)*'C&amp;B'!$C$13/SAP!$C$143)+T$26),"Not Possible")</f>
        <v>0</v>
      </c>
      <c r="V61" s="130" t="s">
        <v>612</v>
      </c>
      <c r="W61" s="82">
        <f>IF(D61=0,0,IF(D61&lt;4,'C&amp;B'!$E$316+(D61*'C&amp;B'!$E$317),D61*'C&amp;B'!$E$318))</f>
        <v>7374.5043032121239</v>
      </c>
      <c r="X61" s="82" t="e">
        <f>IF(E61=0,0,IF(E61&lt;4,'C&amp;B'!$E$316+(E61*'C&amp;B'!$E$317),E61*'C&amp;B'!$E$318))</f>
        <v>#VALUE!</v>
      </c>
      <c r="Y61" s="82">
        <f>IF(F61=0,0,IF(F61&lt;4,'C&amp;B'!$E$316+(F61*'C&amp;B'!$E$317),F61*'C&amp;B'!$E$318))</f>
        <v>0</v>
      </c>
      <c r="Z61" s="82">
        <f>IF(G61=0,0,IF(G61&lt;4,'C&amp;B'!$E$316+(G61*'C&amp;B'!$E$317),G61*'C&amp;B'!$E$318))</f>
        <v>6357.0107738313209</v>
      </c>
      <c r="AA61" s="82">
        <f>IF(H61=0,0,IF(H61&lt;4,'C&amp;B'!$E$316+(H61*'C&amp;B'!$E$317),H61*'C&amp;B'!$E$318))</f>
        <v>0</v>
      </c>
      <c r="AB61" s="82">
        <f>IF(I61=0,0,IF(I61&lt;4,'C&amp;B'!$E$316+(I61*'C&amp;B'!$E$317),I61*'C&amp;B'!$E$318))</f>
        <v>7548.7915382278652</v>
      </c>
      <c r="AC61" s="82">
        <f>IF(J61=0,0,IF(J61&lt;4,'C&amp;B'!$E$316+(J61*'C&amp;B'!$E$317),J61*'C&amp;B'!$E$318))</f>
        <v>0</v>
      </c>
      <c r="AD61" s="82">
        <f>IF(K61=0,0,IF(K61&lt;4,'C&amp;B'!$E$316+(K61*'C&amp;B'!$E$317),K61*'C&amp;B'!$E$318))</f>
        <v>6283.9148521711495</v>
      </c>
      <c r="AE61" s="82">
        <f>IF(L61=0,0,IF(L61&lt;4,'C&amp;B'!$E$316+(L61*'C&amp;B'!$E$317),L61*'C&amp;B'!$E$318))</f>
        <v>0</v>
      </c>
      <c r="AF61" s="82">
        <f>IF(M61=0,0,IF(M61&lt;4,'C&amp;B'!$E$316+(M61*'C&amp;B'!$E$317),M61*'C&amp;B'!$E$318))</f>
        <v>5104.8340653624655</v>
      </c>
      <c r="AG61" s="82">
        <f>IF(N61=0,0,IF(N61&lt;4,'C&amp;B'!$E$316+(N61*'C&amp;B'!$E$317),N61*'C&amp;B'!$E$318))</f>
        <v>0</v>
      </c>
      <c r="AH61" s="82">
        <f>IF(O61=0,0,IF(O61&lt;4,'C&amp;B'!$E$316+(O61*'C&amp;B'!$E$317),O61*'C&amp;B'!$E$318))</f>
        <v>3218.5896279818062</v>
      </c>
      <c r="AI61" s="82">
        <f>IF(P61=0,0,IF(P61&lt;4,'C&amp;B'!$E$316+(P61*'C&amp;B'!$E$317),P61*'C&amp;B'!$E$318))</f>
        <v>0</v>
      </c>
      <c r="AJ61" s="82">
        <f>IF(Q61=0,0,IF(Q61&lt;4,'C&amp;B'!$E$316+(Q61*'C&amp;B'!$E$317),Q61*'C&amp;B'!$E$318))</f>
        <v>2566.0951007136478</v>
      </c>
      <c r="AK61" s="82">
        <f>IF(R61=0,0,IF(R61&lt;4,'C&amp;B'!$E$316+(R61*'C&amp;B'!$E$317),R61*'C&amp;B'!$E$318))</f>
        <v>0</v>
      </c>
      <c r="AL61" s="82">
        <f>IF(S61=0,0,IF(S61&lt;4,'C&amp;B'!$E$316+(S61*'C&amp;B'!$E$317),S61*'C&amp;B'!$E$318))</f>
        <v>0</v>
      </c>
      <c r="AM61" s="82">
        <f>IF(T61=0,0,IF(T61&lt;4,'C&amp;B'!$E$316+(T61*'C&amp;B'!$E$317),T61*'C&amp;B'!$E$318))</f>
        <v>0</v>
      </c>
      <c r="AO61" s="130" t="s">
        <v>612</v>
      </c>
      <c r="AP61" s="82">
        <f t="shared" si="96"/>
        <v>78741.904303212112</v>
      </c>
      <c r="AQ61" s="82" t="e">
        <f t="shared" si="97"/>
        <v>#VALUE!</v>
      </c>
      <c r="AR61" s="82">
        <f t="shared" si="98"/>
        <v>70640.600000000006</v>
      </c>
      <c r="AS61" s="82">
        <f t="shared" si="99"/>
        <v>79662.810773831312</v>
      </c>
      <c r="AT61" s="82">
        <f t="shared" si="100"/>
        <v>74013.799999999988</v>
      </c>
      <c r="AU61" s="82">
        <f t="shared" si="101"/>
        <v>79002.791538227859</v>
      </c>
      <c r="AV61" s="82">
        <f t="shared" si="102"/>
        <v>72162</v>
      </c>
      <c r="AW61" s="82">
        <f t="shared" si="103"/>
        <v>79428.814852171141</v>
      </c>
      <c r="AX61" s="82">
        <f t="shared" si="104"/>
        <v>73852.899999999994</v>
      </c>
      <c r="AY61" s="82">
        <f t="shared" si="105"/>
        <v>80290.63406536245</v>
      </c>
      <c r="AZ61" s="82">
        <f t="shared" si="106"/>
        <v>75893.799999999988</v>
      </c>
      <c r="BA61" s="82">
        <f t="shared" si="107"/>
        <v>78405.3896279818</v>
      </c>
      <c r="BB61" s="82">
        <f t="shared" si="108"/>
        <v>75894.799999999988</v>
      </c>
      <c r="BC61" s="82">
        <f t="shared" si="109"/>
        <v>78692.695100713652</v>
      </c>
      <c r="BD61" s="82">
        <f t="shared" si="110"/>
        <v>76834.600000000006</v>
      </c>
      <c r="BE61" s="82">
        <f t="shared" si="111"/>
        <v>74010.799999999988</v>
      </c>
      <c r="BF61" s="82">
        <f t="shared" si="112"/>
        <v>70640.600000000006</v>
      </c>
    </row>
    <row r="62" spans="2:58" s="4" customFormat="1">
      <c r="B62" s="130" t="s">
        <v>613</v>
      </c>
      <c r="C62" s="127">
        <f>SAP!D163</f>
        <v>6.4848175604206526</v>
      </c>
      <c r="D62" s="131" t="str">
        <f>IF(IF(D$39&lt;=$C62,D$26,(((D$39-$C62)/SAP!$C$10)*'C&amp;B'!$C$13/SAP!$C$143)+D$26)&lt;=SAP!$C$151,IF(D$39&lt;=$C62,D$26,(((D$39-$C62)/SAP!$C$10)*'C&amp;B'!$C$13/SAP!$C$143)+D$26),"Not Possible")</f>
        <v>Not Possible</v>
      </c>
      <c r="E62" s="131" t="str">
        <f>IF(IF(E$39&lt;=$C62,E$26,(((E$39-$C62)/SAP!$C$10)*'C&amp;B'!$C$13/SAP!$C$143)+E$26)&lt;=SAP!$C$151,IF(E$39&lt;=$C62,E$26,(((E$39-$C62)/SAP!$C$10)*'C&amp;B'!$C$13/SAP!$C$143)+E$26),"Not Possible")</f>
        <v>Not Possible</v>
      </c>
      <c r="F62" s="131">
        <f>IF(IF(F$39&lt;=$C62,F$26,(((F$39-$C62)/SAP!$C$10)*'C&amp;B'!$C$13/SAP!$C$143)+F$26)&lt;=SAP!$C$151,IF(F$39&lt;=$C62,F$26,(((F$39-$C62)/SAP!$C$10)*'C&amp;B'!$C$13/SAP!$C$143)+F$26),"Not Possible")</f>
        <v>0</v>
      </c>
      <c r="G62" s="131">
        <f>IF(IF(G$39&lt;=$C62,G$26,(((G$39-$C62)/SAP!$C$10)*'C&amp;B'!$C$13/SAP!$C$143)+G$26)&lt;=SAP!$C$151,IF(G$39&lt;=$C62,G$26,(((G$39-$C62)/SAP!$C$10)*'C&amp;B'!$C$13/SAP!$C$143)+G$26),"Not Possible")</f>
        <v>6.8055938489785346</v>
      </c>
      <c r="H62" s="131">
        <f>IF(IF(H$39&lt;=$C62,H$26,(((H$39-$C62)/SAP!$C$10)*'C&amp;B'!$C$13/SAP!$C$143)+H$26)&lt;=SAP!$C$151,IF(H$39&lt;=$C62,H$26,(((H$39-$C62)/SAP!$C$10)*'C&amp;B'!$C$13/SAP!$C$143)+H$26),"Not Possible")</f>
        <v>0</v>
      </c>
      <c r="I62" s="131" t="str">
        <f>IF(IF(I$39&lt;=$C62,I$26,(((I$39-$C62)/SAP!$C$10)*'C&amp;B'!$C$13/SAP!$C$143)+I$26)&lt;=SAP!$C$151,IF(I$39&lt;=$C62,I$26,(((I$39-$C62)/SAP!$C$10)*'C&amp;B'!$C$13/SAP!$C$143)+I$26),"Not Possible")</f>
        <v>Not Possible</v>
      </c>
      <c r="J62" s="131">
        <f>IF(IF(J$39&lt;=$C62,J$26,(((J$39-$C62)/SAP!$C$10)*'C&amp;B'!$C$13/SAP!$C$143)+J$26)&lt;=SAP!$C$151,IF(J$39&lt;=$C62,J$26,(((J$39-$C62)/SAP!$C$10)*'C&amp;B'!$C$13/SAP!$C$143)+J$26),"Not Possible")</f>
        <v>0</v>
      </c>
      <c r="K62" s="131">
        <f>IF(IF(K$39&lt;=$C62,K$26,(((K$39-$C62)/SAP!$C$10)*'C&amp;B'!$C$13/SAP!$C$143)+K$26)&lt;=SAP!$C$151,IF(K$39&lt;=$C62,K$26,(((K$39-$C62)/SAP!$C$10)*'C&amp;B'!$C$13/SAP!$C$143)+K$26),"Not Possible")</f>
        <v>6.7391430111056518</v>
      </c>
      <c r="L62" s="131">
        <f>IF(IF(L$39&lt;=$C62,L$26,(((L$39-$C62)/SAP!$C$10)*'C&amp;B'!$C$13/SAP!$C$143)+L$26)&lt;=SAP!$C$151,IF(L$39&lt;=$C62,L$26,(((L$39-$C62)/SAP!$C$10)*'C&amp;B'!$C$13/SAP!$C$143)+L$26),"Not Possible")</f>
        <v>0</v>
      </c>
      <c r="M62" s="131">
        <f>IF(IF(M$39&lt;=$C62,M$26,(((M$39-$C62)/SAP!$C$10)*'C&amp;B'!$C$13/SAP!$C$143)+M$26)&lt;=SAP!$C$151,IF(M$39&lt;=$C62,M$26,(((M$39-$C62)/SAP!$C$10)*'C&amp;B'!$C$13/SAP!$C$143)+M$26),"Not Possible")</f>
        <v>5.6672513867341197</v>
      </c>
      <c r="N62" s="131">
        <f>IF(IF(N$39&lt;=$C62,N$26,(((N$39-$C62)/SAP!$C$10)*'C&amp;B'!$C$13/SAP!$C$143)+N$26)&lt;=SAP!$C$151,IF(N$39&lt;=$C62,N$26,(((N$39-$C62)/SAP!$C$10)*'C&amp;B'!$C$13/SAP!$C$143)+N$26),"Not Possible")</f>
        <v>0</v>
      </c>
      <c r="O62" s="131">
        <f>IF(IF(O$39&lt;=$C62,O$26,(((O$39-$C62)/SAP!$C$10)*'C&amp;B'!$C$13/SAP!$C$143)+O$26)&lt;=SAP!$C$151,IF(O$39&lt;=$C62,O$26,(((O$39-$C62)/SAP!$C$10)*'C&amp;B'!$C$13/SAP!$C$143)+O$26),"Not Possible")</f>
        <v>4.5574758587985249</v>
      </c>
      <c r="P62" s="131">
        <f>IF(IF(P$39&lt;=$C62,P$26,(((P$39-$C62)/SAP!$C$10)*'C&amp;B'!$C$13/SAP!$C$143)+P$26)&lt;=SAP!$C$151,IF(P$39&lt;=$C62,P$26,(((P$39-$C62)/SAP!$C$10)*'C&amp;B'!$C$13/SAP!$C$143)+P$26),"Not Possible")</f>
        <v>0</v>
      </c>
      <c r="Q62" s="131">
        <f>IF(IF(Q$39&lt;=$C62,Q$26,(((Q$39-$C62)/SAP!$C$10)*'C&amp;B'!$C$13/SAP!$C$143)+Q$26)&lt;=SAP!$C$151,IF(Q$39&lt;=$C62,Q$26,(((Q$39-$C62)/SAP!$C$10)*'C&amp;B'!$C$13/SAP!$C$143)+Q$26),"Not Possible")</f>
        <v>3.4699849800182609</v>
      </c>
      <c r="R62" s="131">
        <f>IF(IF(R$39&lt;=$C62,R$26,(((R$39-$C62)/SAP!$C$10)*'C&amp;B'!$C$13/SAP!$C$143)+R$26)&lt;=SAP!$C$151,IF(R$39&lt;=$C62,R$26,(((R$39-$C62)/SAP!$C$10)*'C&amp;B'!$C$13/SAP!$C$143)+R$26),"Not Possible")</f>
        <v>0</v>
      </c>
      <c r="S62" s="131">
        <f>IF(IF(S$39&lt;=$C62,S$26,(((S$39-$C62)/SAP!$C$10)*'C&amp;B'!$C$13/SAP!$C$143)+S$26)&lt;=SAP!$C$151,IF(S$39&lt;=$C62,S$26,(((S$39-$C62)/SAP!$C$10)*'C&amp;B'!$C$13/SAP!$C$143)+S$26),"Not Possible")</f>
        <v>0</v>
      </c>
      <c r="T62" s="131">
        <f>IF(IF(T$39&lt;=$C62,T$26,(((T$39-$C62)/SAP!$C$10)*'C&amp;B'!$C$13/SAP!$C$143)+T$26)&lt;=SAP!$C$151,IF(T$39&lt;=$C62,T$26,(((T$39-$C62)/SAP!$C$10)*'C&amp;B'!$C$13/SAP!$C$143)+T$26),"Not Possible")</f>
        <v>0</v>
      </c>
      <c r="V62" s="130" t="s">
        <v>613</v>
      </c>
      <c r="W62" s="82" t="e">
        <f>IF(D62=0,0,IF(D62&lt;4,'C&amp;B'!$E$316+(D62*'C&amp;B'!$E$317),D62*'C&amp;B'!$E$318))</f>
        <v>#VALUE!</v>
      </c>
      <c r="X62" s="82" t="e">
        <f>IF(E62=0,0,IF(E62&lt;4,'C&amp;B'!$E$316+(E62*'C&amp;B'!$E$317),E62*'C&amp;B'!$E$318))</f>
        <v>#VALUE!</v>
      </c>
      <c r="Y62" s="82">
        <f>IF(F62=0,0,IF(F62&lt;4,'C&amp;B'!$E$316+(F62*'C&amp;B'!$E$317),F62*'C&amp;B'!$E$318))</f>
        <v>0</v>
      </c>
      <c r="Z62" s="82">
        <f>IF(G62=0,0,IF(G62&lt;4,'C&amp;B'!$E$316+(G62*'C&amp;B'!$E$317),G62*'C&amp;B'!$E$318))</f>
        <v>7486.1532338763882</v>
      </c>
      <c r="AA62" s="82">
        <f>IF(H62=0,0,IF(H62&lt;4,'C&amp;B'!$E$316+(H62*'C&amp;B'!$E$317),H62*'C&amp;B'!$E$318))</f>
        <v>0</v>
      </c>
      <c r="AB62" s="82" t="e">
        <f>IF(I62=0,0,IF(I62&lt;4,'C&amp;B'!$E$316+(I62*'C&amp;B'!$E$317),I62*'C&amp;B'!$E$318))</f>
        <v>#VALUE!</v>
      </c>
      <c r="AC62" s="82">
        <f>IF(J62=0,0,IF(J62&lt;4,'C&amp;B'!$E$316+(J62*'C&amp;B'!$E$317),J62*'C&amp;B'!$E$318))</f>
        <v>0</v>
      </c>
      <c r="AD62" s="82">
        <f>IF(K62=0,0,IF(K62&lt;4,'C&amp;B'!$E$316+(K62*'C&amp;B'!$E$317),K62*'C&amp;B'!$E$318))</f>
        <v>7413.0573122162168</v>
      </c>
      <c r="AE62" s="82">
        <f>IF(L62=0,0,IF(L62&lt;4,'C&amp;B'!$E$316+(L62*'C&amp;B'!$E$317),L62*'C&amp;B'!$E$318))</f>
        <v>0</v>
      </c>
      <c r="AF62" s="82">
        <f>IF(M62=0,0,IF(M62&lt;4,'C&amp;B'!$E$316+(M62*'C&amp;B'!$E$317),M62*'C&amp;B'!$E$318))</f>
        <v>6233.9765254075319</v>
      </c>
      <c r="AG62" s="82">
        <f>IF(N62=0,0,IF(N62&lt;4,'C&amp;B'!$E$316+(N62*'C&amp;B'!$E$317),N62*'C&amp;B'!$E$318))</f>
        <v>0</v>
      </c>
      <c r="AH62" s="82">
        <f>IF(O62=0,0,IF(O62&lt;4,'C&amp;B'!$E$316+(O62*'C&amp;B'!$E$317),O62*'C&amp;B'!$E$318))</f>
        <v>5013.2234446783777</v>
      </c>
      <c r="AI62" s="82">
        <f>IF(P62=0,0,IF(P62&lt;4,'C&amp;B'!$E$316+(P62*'C&amp;B'!$E$317),P62*'C&amp;B'!$E$318))</f>
        <v>0</v>
      </c>
      <c r="AJ62" s="82">
        <f>IF(Q62=0,0,IF(Q62&lt;4,'C&amp;B'!$E$316+(Q62*'C&amp;B'!$E$317),Q62*'C&amp;B'!$E$318))</f>
        <v>3181.9909880109567</v>
      </c>
      <c r="AK62" s="82">
        <f>IF(R62=0,0,IF(R62&lt;4,'C&amp;B'!$E$316+(R62*'C&amp;B'!$E$317),R62*'C&amp;B'!$E$318))</f>
        <v>0</v>
      </c>
      <c r="AL62" s="82">
        <f>IF(S62=0,0,IF(S62&lt;4,'C&amp;B'!$E$316+(S62*'C&amp;B'!$E$317),S62*'C&amp;B'!$E$318))</f>
        <v>0</v>
      </c>
      <c r="AM62" s="82">
        <f>IF(T62=0,0,IF(T62&lt;4,'C&amp;B'!$E$316+(T62*'C&amp;B'!$E$317),T62*'C&amp;B'!$E$318))</f>
        <v>0</v>
      </c>
      <c r="AO62" s="130" t="s">
        <v>613</v>
      </c>
      <c r="AP62" s="82" t="e">
        <f t="shared" si="96"/>
        <v>#VALUE!</v>
      </c>
      <c r="AQ62" s="82" t="e">
        <f t="shared" si="97"/>
        <v>#VALUE!</v>
      </c>
      <c r="AR62" s="82">
        <f t="shared" si="98"/>
        <v>70640.600000000006</v>
      </c>
      <c r="AS62" s="82">
        <f t="shared" si="99"/>
        <v>80791.953233876382</v>
      </c>
      <c r="AT62" s="82">
        <f t="shared" si="100"/>
        <v>74013.799999999988</v>
      </c>
      <c r="AU62" s="82" t="e">
        <f t="shared" si="101"/>
        <v>#VALUE!</v>
      </c>
      <c r="AV62" s="82">
        <f t="shared" si="102"/>
        <v>72162</v>
      </c>
      <c r="AW62" s="82">
        <f t="shared" si="103"/>
        <v>80557.957312216211</v>
      </c>
      <c r="AX62" s="82">
        <f t="shared" si="104"/>
        <v>73852.899999999994</v>
      </c>
      <c r="AY62" s="82">
        <f t="shared" si="105"/>
        <v>81419.77652540752</v>
      </c>
      <c r="AZ62" s="82">
        <f t="shared" si="106"/>
        <v>75893.799999999988</v>
      </c>
      <c r="BA62" s="82">
        <f t="shared" si="107"/>
        <v>80200.023444678372</v>
      </c>
      <c r="BB62" s="82">
        <f t="shared" si="108"/>
        <v>75894.799999999988</v>
      </c>
      <c r="BC62" s="82">
        <f t="shared" si="109"/>
        <v>79308.590988010968</v>
      </c>
      <c r="BD62" s="82">
        <f t="shared" si="110"/>
        <v>76834.600000000006</v>
      </c>
      <c r="BE62" s="82">
        <f t="shared" si="111"/>
        <v>74010.799999999988</v>
      </c>
      <c r="BF62" s="82">
        <f t="shared" si="112"/>
        <v>70640.600000000006</v>
      </c>
    </row>
    <row r="63" spans="2:58" s="4" customFormat="1">
      <c r="B63" s="130" t="s">
        <v>614</v>
      </c>
      <c r="C63" s="127">
        <f>SAP!D164</f>
        <v>5.404014633683877</v>
      </c>
      <c r="D63" s="131" t="str">
        <f>IF(IF(D$39&lt;=$C63,D$26,(((D$39-$C63)/SAP!$C$10)*'C&amp;B'!$C$13/SAP!$C$143)+D$26)&lt;=SAP!$C$151,IF(D$39&lt;=$C63,D$26,(((D$39-$C63)/SAP!$C$10)*'C&amp;B'!$C$13/SAP!$C$143)+D$26),"Not Possible")</f>
        <v>Not Possible</v>
      </c>
      <c r="E63" s="131" t="str">
        <f>IF(IF(E$39&lt;=$C63,E$26,(((E$39-$C63)/SAP!$C$10)*'C&amp;B'!$C$13/SAP!$C$143)+E$26)&lt;=SAP!$C$151,IF(E$39&lt;=$C63,E$26,(((E$39-$C63)/SAP!$C$10)*'C&amp;B'!$C$13/SAP!$C$143)+E$26),"Not Possible")</f>
        <v>Not Possible</v>
      </c>
      <c r="F63" s="131">
        <f>IF(IF(F$39&lt;=$C63,F$26,(((F$39-$C63)/SAP!$C$10)*'C&amp;B'!$C$13/SAP!$C$143)+F$26)&lt;=SAP!$C$151,IF(F$39&lt;=$C63,F$26,(((F$39-$C63)/SAP!$C$10)*'C&amp;B'!$C$13/SAP!$C$143)+F$26),"Not Possible")</f>
        <v>0</v>
      </c>
      <c r="G63" s="131" t="str">
        <f>IF(IF(G$39&lt;=$C63,G$26,(((G$39-$C63)/SAP!$C$10)*'C&amp;B'!$C$13/SAP!$C$143)+G$26)&lt;=SAP!$C$151,IF(G$39&lt;=$C63,G$26,(((G$39-$C63)/SAP!$C$10)*'C&amp;B'!$C$13/SAP!$C$143)+G$26),"Not Possible")</f>
        <v>Not Possible</v>
      </c>
      <c r="H63" s="131">
        <f>IF(IF(H$39&lt;=$C63,H$26,(((H$39-$C63)/SAP!$C$10)*'C&amp;B'!$C$13/SAP!$C$143)+H$26)&lt;=SAP!$C$151,IF(H$39&lt;=$C63,H$26,(((H$39-$C63)/SAP!$C$10)*'C&amp;B'!$C$13/SAP!$C$143)+H$26),"Not Possible")</f>
        <v>0</v>
      </c>
      <c r="I63" s="131" t="str">
        <f>IF(IF(I$39&lt;=$C63,I$26,(((I$39-$C63)/SAP!$C$10)*'C&amp;B'!$C$13/SAP!$C$143)+I$26)&lt;=SAP!$C$151,IF(I$39&lt;=$C63,I$26,(((I$39-$C63)/SAP!$C$10)*'C&amp;B'!$C$13/SAP!$C$143)+I$26),"Not Possible")</f>
        <v>Not Possible</v>
      </c>
      <c r="J63" s="131">
        <f>IF(IF(J$39&lt;=$C63,J$26,(((J$39-$C63)/SAP!$C$10)*'C&amp;B'!$C$13/SAP!$C$143)+J$26)&lt;=SAP!$C$151,IF(J$39&lt;=$C63,J$26,(((J$39-$C63)/SAP!$C$10)*'C&amp;B'!$C$13/SAP!$C$143)+J$26),"Not Possible")</f>
        <v>0</v>
      </c>
      <c r="K63" s="131" t="str">
        <f>IF(IF(K$39&lt;=$C63,K$26,(((K$39-$C63)/SAP!$C$10)*'C&amp;B'!$C$13/SAP!$C$143)+K$26)&lt;=SAP!$C$151,IF(K$39&lt;=$C63,K$26,(((K$39-$C63)/SAP!$C$10)*'C&amp;B'!$C$13/SAP!$C$143)+K$26),"Not Possible")</f>
        <v>Not Possible</v>
      </c>
      <c r="L63" s="131">
        <f>IF(IF(L$39&lt;=$C63,L$26,(((L$39-$C63)/SAP!$C$10)*'C&amp;B'!$C$13/SAP!$C$143)+L$26)&lt;=SAP!$C$151,IF(L$39&lt;=$C63,L$26,(((L$39-$C63)/SAP!$C$10)*'C&amp;B'!$C$13/SAP!$C$143)+L$26),"Not Possible")</f>
        <v>0</v>
      </c>
      <c r="M63" s="131">
        <f>IF(IF(M$39&lt;=$C63,M$26,(((M$39-$C63)/SAP!$C$10)*'C&amp;B'!$C$13/SAP!$C$143)+M$26)&lt;=SAP!$C$151,IF(M$39&lt;=$C63,M$26,(((M$39-$C63)/SAP!$C$10)*'C&amp;B'!$C$13/SAP!$C$143)+M$26),"Not Possible")</f>
        <v>6.6937445322296352</v>
      </c>
      <c r="N63" s="131">
        <f>IF(IF(N$39&lt;=$C63,N$26,(((N$39-$C63)/SAP!$C$10)*'C&amp;B'!$C$13/SAP!$C$143)+N$26)&lt;=SAP!$C$151,IF(N$39&lt;=$C63,N$26,(((N$39-$C63)/SAP!$C$10)*'C&amp;B'!$C$13/SAP!$C$143)+N$26),"Not Possible")</f>
        <v>0</v>
      </c>
      <c r="O63" s="131">
        <f>IF(IF(O$39&lt;=$C63,O$26,(((O$39-$C63)/SAP!$C$10)*'C&amp;B'!$C$13/SAP!$C$143)+O$26)&lt;=SAP!$C$151,IF(O$39&lt;=$C63,O$26,(((O$39-$C63)/SAP!$C$10)*'C&amp;B'!$C$13/SAP!$C$143)+O$26),"Not Possible")</f>
        <v>5.5839690042940404</v>
      </c>
      <c r="P63" s="131">
        <f>IF(IF(P$39&lt;=$C63,P$26,(((P$39-$C63)/SAP!$C$10)*'C&amp;B'!$C$13/SAP!$C$143)+P$26)&lt;=SAP!$C$151,IF(P$39&lt;=$C63,P$26,(((P$39-$C63)/SAP!$C$10)*'C&amp;B'!$C$13/SAP!$C$143)+P$26),"Not Possible")</f>
        <v>0</v>
      </c>
      <c r="Q63" s="131">
        <f>IF(IF(Q$39&lt;=$C63,Q$26,(((Q$39-$C63)/SAP!$C$10)*'C&amp;B'!$C$13/SAP!$C$143)+Q$26)&lt;=SAP!$C$151,IF(Q$39&lt;=$C63,Q$26,(((Q$39-$C63)/SAP!$C$10)*'C&amp;B'!$C$13/SAP!$C$143)+Q$26),"Not Possible")</f>
        <v>4.496478125513776</v>
      </c>
      <c r="R63" s="131">
        <f>IF(IF(R$39&lt;=$C63,R$26,(((R$39-$C63)/SAP!$C$10)*'C&amp;B'!$C$13/SAP!$C$143)+R$26)&lt;=SAP!$C$151,IF(R$39&lt;=$C63,R$26,(((R$39-$C63)/SAP!$C$10)*'C&amp;B'!$C$13/SAP!$C$143)+R$26),"Not Possible")</f>
        <v>0</v>
      </c>
      <c r="S63" s="131">
        <f>IF(IF(S$39&lt;=$C63,S$26,(((S$39-$C63)/SAP!$C$10)*'C&amp;B'!$C$13/SAP!$C$143)+S$26)&lt;=SAP!$C$151,IF(S$39&lt;=$C63,S$26,(((S$39-$C63)/SAP!$C$10)*'C&amp;B'!$C$13/SAP!$C$143)+S$26),"Not Possible")</f>
        <v>0</v>
      </c>
      <c r="T63" s="131">
        <f>IF(IF(T$39&lt;=$C63,T$26,(((T$39-$C63)/SAP!$C$10)*'C&amp;B'!$C$13/SAP!$C$143)+T$26)&lt;=SAP!$C$151,IF(T$39&lt;=$C63,T$26,(((T$39-$C63)/SAP!$C$10)*'C&amp;B'!$C$13/SAP!$C$143)+T$26),"Not Possible")</f>
        <v>0</v>
      </c>
      <c r="V63" s="130" t="s">
        <v>614</v>
      </c>
      <c r="W63" s="82" t="e">
        <f>IF(D63=0,0,IF(D63&lt;4,'C&amp;B'!$E$316+(D63*'C&amp;B'!$E$317),D63*'C&amp;B'!$E$318))</f>
        <v>#VALUE!</v>
      </c>
      <c r="X63" s="82" t="e">
        <f>IF(E63=0,0,IF(E63&lt;4,'C&amp;B'!$E$316+(E63*'C&amp;B'!$E$317),E63*'C&amp;B'!$E$318))</f>
        <v>#VALUE!</v>
      </c>
      <c r="Y63" s="82">
        <f>IF(F63=0,0,IF(F63&lt;4,'C&amp;B'!$E$316+(F63*'C&amp;B'!$E$317),F63*'C&amp;B'!$E$318))</f>
        <v>0</v>
      </c>
      <c r="Z63" s="82" t="e">
        <f>IF(G63=0,0,IF(G63&lt;4,'C&amp;B'!$E$316+(G63*'C&amp;B'!$E$317),G63*'C&amp;B'!$E$318))</f>
        <v>#VALUE!</v>
      </c>
      <c r="AA63" s="82">
        <f>IF(H63=0,0,IF(H63&lt;4,'C&amp;B'!$E$316+(H63*'C&amp;B'!$E$317),H63*'C&amp;B'!$E$318))</f>
        <v>0</v>
      </c>
      <c r="AB63" s="82" t="e">
        <f>IF(I63=0,0,IF(I63&lt;4,'C&amp;B'!$E$316+(I63*'C&amp;B'!$E$317),I63*'C&amp;B'!$E$318))</f>
        <v>#VALUE!</v>
      </c>
      <c r="AC63" s="82">
        <f>IF(J63=0,0,IF(J63&lt;4,'C&amp;B'!$E$316+(J63*'C&amp;B'!$E$317),J63*'C&amp;B'!$E$318))</f>
        <v>0</v>
      </c>
      <c r="AD63" s="82" t="e">
        <f>IF(K63=0,0,IF(K63&lt;4,'C&amp;B'!$E$316+(K63*'C&amp;B'!$E$317),K63*'C&amp;B'!$E$318))</f>
        <v>#VALUE!</v>
      </c>
      <c r="AE63" s="82">
        <f>IF(L63=0,0,IF(L63&lt;4,'C&amp;B'!$E$316+(L63*'C&amp;B'!$E$317),L63*'C&amp;B'!$E$318))</f>
        <v>0</v>
      </c>
      <c r="AF63" s="82">
        <f>IF(M63=0,0,IF(M63&lt;4,'C&amp;B'!$E$316+(M63*'C&amp;B'!$E$317),M63*'C&amp;B'!$E$318))</f>
        <v>7363.1189854525983</v>
      </c>
      <c r="AG63" s="82">
        <f>IF(N63=0,0,IF(N63&lt;4,'C&amp;B'!$E$316+(N63*'C&amp;B'!$E$317),N63*'C&amp;B'!$E$318))</f>
        <v>0</v>
      </c>
      <c r="AH63" s="82">
        <f>IF(O63=0,0,IF(O63&lt;4,'C&amp;B'!$E$316+(O63*'C&amp;B'!$E$317),O63*'C&amp;B'!$E$318))</f>
        <v>6142.3659047234441</v>
      </c>
      <c r="AI63" s="82">
        <f>IF(P63=0,0,IF(P63&lt;4,'C&amp;B'!$E$316+(P63*'C&amp;B'!$E$317),P63*'C&amp;B'!$E$318))</f>
        <v>0</v>
      </c>
      <c r="AJ63" s="82">
        <f>IF(Q63=0,0,IF(Q63&lt;4,'C&amp;B'!$E$316+(Q63*'C&amp;B'!$E$317),Q63*'C&amp;B'!$E$318))</f>
        <v>4946.1259380651536</v>
      </c>
      <c r="AK63" s="82">
        <f>IF(R63=0,0,IF(R63&lt;4,'C&amp;B'!$E$316+(R63*'C&amp;B'!$E$317),R63*'C&amp;B'!$E$318))</f>
        <v>0</v>
      </c>
      <c r="AL63" s="82">
        <f>IF(S63=0,0,IF(S63&lt;4,'C&amp;B'!$E$316+(S63*'C&amp;B'!$E$317),S63*'C&amp;B'!$E$318))</f>
        <v>0</v>
      </c>
      <c r="AM63" s="82">
        <f>IF(T63=0,0,IF(T63&lt;4,'C&amp;B'!$E$316+(T63*'C&amp;B'!$E$317),T63*'C&amp;B'!$E$318))</f>
        <v>0</v>
      </c>
      <c r="AO63" s="130" t="s">
        <v>614</v>
      </c>
      <c r="AP63" s="82" t="e">
        <f t="shared" si="96"/>
        <v>#VALUE!</v>
      </c>
      <c r="AQ63" s="82" t="e">
        <f t="shared" si="97"/>
        <v>#VALUE!</v>
      </c>
      <c r="AR63" s="82">
        <f t="shared" si="98"/>
        <v>70640.600000000006</v>
      </c>
      <c r="AS63" s="82" t="e">
        <f t="shared" si="99"/>
        <v>#VALUE!</v>
      </c>
      <c r="AT63" s="82">
        <f t="shared" si="100"/>
        <v>74013.799999999988</v>
      </c>
      <c r="AU63" s="82" t="e">
        <f t="shared" si="101"/>
        <v>#VALUE!</v>
      </c>
      <c r="AV63" s="82">
        <f t="shared" si="102"/>
        <v>72162</v>
      </c>
      <c r="AW63" s="82" t="e">
        <f t="shared" si="103"/>
        <v>#VALUE!</v>
      </c>
      <c r="AX63" s="82">
        <f t="shared" si="104"/>
        <v>73852.899999999994</v>
      </c>
      <c r="AY63" s="82">
        <f t="shared" si="105"/>
        <v>82548.91898545259</v>
      </c>
      <c r="AZ63" s="82">
        <f t="shared" si="106"/>
        <v>75893.799999999988</v>
      </c>
      <c r="BA63" s="82">
        <f t="shared" si="107"/>
        <v>81329.165904723428</v>
      </c>
      <c r="BB63" s="82">
        <f t="shared" si="108"/>
        <v>75894.799999999988</v>
      </c>
      <c r="BC63" s="82">
        <f t="shared" si="109"/>
        <v>81072.725938065152</v>
      </c>
      <c r="BD63" s="82">
        <f t="shared" si="110"/>
        <v>76834.600000000006</v>
      </c>
      <c r="BE63" s="82">
        <f t="shared" si="111"/>
        <v>74010.799999999988</v>
      </c>
      <c r="BF63" s="82">
        <f t="shared" si="112"/>
        <v>70640.600000000006</v>
      </c>
    </row>
    <row r="64" spans="2:58" s="4" customFormat="1">
      <c r="B64" s="130" t="s">
        <v>615</v>
      </c>
      <c r="C64" s="127">
        <f>SAP!D165</f>
        <v>0</v>
      </c>
      <c r="D64" s="131" t="str">
        <f>IF(IF(D$39&lt;=$C64,D$26,(((D$39-$C64)/SAP!$C$10)*'C&amp;B'!$C$13/SAP!$C$143)+D$26)&lt;=SAP!$C$151,IF(D$39&lt;=$C64,D$26,(((D$39-$C64)/SAP!$C$10)*'C&amp;B'!$C$13/SAP!$C$143)+D$26),"Not Possible")</f>
        <v>Not Possible</v>
      </c>
      <c r="E64" s="131" t="str">
        <f>IF(IF(E$39&lt;=$C64,E$26,(((E$39-$C64)/SAP!$C$10)*'C&amp;B'!$C$13/SAP!$C$143)+E$26)&lt;=SAP!$C$151,IF(E$39&lt;=$C64,E$26,(((E$39-$C64)/SAP!$C$10)*'C&amp;B'!$C$13/SAP!$C$143)+E$26),"Not Possible")</f>
        <v>Not Possible</v>
      </c>
      <c r="F64" s="131">
        <f>IF(IF(F$39&lt;=$C64,F$26,(((F$39-$C64)/SAP!$C$10)*'C&amp;B'!$C$13/SAP!$C$143)+F$26)&lt;=SAP!$C$151,IF(F$39&lt;=$C64,F$26,(((F$39-$C64)/SAP!$C$10)*'C&amp;B'!$C$13/SAP!$C$143)+F$26),"Not Possible")</f>
        <v>3.7612648349398121</v>
      </c>
      <c r="G64" s="131" t="str">
        <f>IF(IF(G$39&lt;=$C64,G$26,(((G$39-$C64)/SAP!$C$10)*'C&amp;B'!$C$13/SAP!$C$143)+G$26)&lt;=SAP!$C$151,IF(G$39&lt;=$C64,G$26,(((G$39-$C64)/SAP!$C$10)*'C&amp;B'!$C$13/SAP!$C$143)+G$26),"Not Possible")</f>
        <v>Not Possible</v>
      </c>
      <c r="H64" s="131">
        <f>IF(IF(H$39&lt;=$C64,H$26,(((H$39-$C64)/SAP!$C$10)*'C&amp;B'!$C$13/SAP!$C$143)+H$26)&lt;=SAP!$C$151,IF(H$39&lt;=$C64,H$26,(((H$39-$C64)/SAP!$C$10)*'C&amp;B'!$C$13/SAP!$C$143)+H$26),"Not Possible")</f>
        <v>3.4540411873300125</v>
      </c>
      <c r="I64" s="131" t="str">
        <f>IF(IF(I$39&lt;=$C64,I$26,(((I$39-$C64)/SAP!$C$10)*'C&amp;B'!$C$13/SAP!$C$143)+I$26)&lt;=SAP!$C$151,IF(I$39&lt;=$C64,I$26,(((I$39-$C64)/SAP!$C$10)*'C&amp;B'!$C$13/SAP!$C$143)+I$26),"Not Possible")</f>
        <v>Not Possible</v>
      </c>
      <c r="J64" s="131">
        <f>IF(IF(J$39&lt;=$C64,J$26,(((J$39-$C64)/SAP!$C$10)*'C&amp;B'!$C$13/SAP!$C$143)+J$26)&lt;=SAP!$C$151,IF(J$39&lt;=$C64,J$26,(((J$39-$C64)/SAP!$C$10)*'C&amp;B'!$C$13/SAP!$C$143)+J$26),"Not Possible")</f>
        <v>4.5584523915605617</v>
      </c>
      <c r="K64" s="131" t="str">
        <f>IF(IF(K$39&lt;=$C64,K$26,(((K$39-$C64)/SAP!$C$10)*'C&amp;B'!$C$13/SAP!$C$143)+K$26)&lt;=SAP!$C$151,IF(K$39&lt;=$C64,K$26,(((K$39-$C64)/SAP!$C$10)*'C&amp;B'!$C$13/SAP!$C$143)+K$26),"Not Possible")</f>
        <v>Not Possible</v>
      </c>
      <c r="L64" s="131">
        <f>IF(IF(L$39&lt;=$C64,L$26,(((L$39-$C64)/SAP!$C$10)*'C&amp;B'!$C$13/SAP!$C$143)+L$26)&lt;=SAP!$C$151,IF(L$39&lt;=$C64,L$26,(((L$39-$C64)/SAP!$C$10)*'C&amp;B'!$C$13/SAP!$C$143)+L$26),"Not Possible")</f>
        <v>4.3624238835050191</v>
      </c>
      <c r="M64" s="131" t="str">
        <f>IF(IF(M$39&lt;=$C64,M$26,(((M$39-$C64)/SAP!$C$10)*'C&amp;B'!$C$13/SAP!$C$143)+M$26)&lt;=SAP!$C$151,IF(M$39&lt;=$C64,M$26,(((M$39-$C64)/SAP!$C$10)*'C&amp;B'!$C$13/SAP!$C$143)+M$26),"Not Possible")</f>
        <v>Not Possible</v>
      </c>
      <c r="N64" s="131">
        <f>IF(IF(N$39&lt;=$C64,N$26,(((N$39-$C64)/SAP!$C$10)*'C&amp;B'!$C$13/SAP!$C$143)+N$26)&lt;=SAP!$C$151,IF(N$39&lt;=$C64,N$26,(((N$39-$C64)/SAP!$C$10)*'C&amp;B'!$C$13/SAP!$C$143)+N$26),"Not Possible")</f>
        <v>4.1796918827788252</v>
      </c>
      <c r="O64" s="131" t="str">
        <f>IF(IF(O$39&lt;=$C64,O$26,(((O$39-$C64)/SAP!$C$10)*'C&amp;B'!$C$13/SAP!$C$143)+O$26)&lt;=SAP!$C$151,IF(O$39&lt;=$C64,O$26,(((O$39-$C64)/SAP!$C$10)*'C&amp;B'!$C$13/SAP!$C$143)+O$26),"Not Possible")</f>
        <v>Not Possible</v>
      </c>
      <c r="P64" s="131">
        <f>IF(IF(P$39&lt;=$C64,P$26,(((P$39-$C64)/SAP!$C$10)*'C&amp;B'!$C$13/SAP!$C$143)+P$26)&lt;=SAP!$C$151,IF(P$39&lt;=$C64,P$26,(((P$39-$C64)/SAP!$C$10)*'C&amp;B'!$C$13/SAP!$C$143)+P$26),"Not Possible")</f>
        <v>3.9905015784926614</v>
      </c>
      <c r="Q64" s="131" t="str">
        <f>IF(IF(Q$39&lt;=$C64,Q$26,(((Q$39-$C64)/SAP!$C$10)*'C&amp;B'!$C$13/SAP!$C$143)+Q$26)&lt;=SAP!$C$151,IF(Q$39&lt;=$C64,Q$26,(((Q$39-$C64)/SAP!$C$10)*'C&amp;B'!$C$13/SAP!$C$143)+Q$26),"Not Possible")</f>
        <v>Not Possible</v>
      </c>
      <c r="R64" s="131">
        <f>IF(IF(R$39&lt;=$C64,R$26,(((R$39-$C64)/SAP!$C$10)*'C&amp;B'!$C$13/SAP!$C$143)+R$26)&lt;=SAP!$C$151,IF(R$39&lt;=$C64,R$26,(((R$39-$C64)/SAP!$C$10)*'C&amp;B'!$C$13/SAP!$C$143)+R$26),"Not Possible")</f>
        <v>3.8051102763005966</v>
      </c>
      <c r="S64" s="131">
        <f>IF(IF(S$39&lt;=$C64,S$26,(((S$39-$C64)/SAP!$C$10)*'C&amp;B'!$C$13/SAP!$C$143)+S$26)&lt;=SAP!$C$151,IF(S$39&lt;=$C64,S$26,(((S$39-$C64)/SAP!$C$10)*'C&amp;B'!$C$13/SAP!$C$143)+S$26),"Not Possible")</f>
        <v>3.6126629034778945</v>
      </c>
      <c r="T64" s="131">
        <f>IF(IF(T$39&lt;=$C64,T$26,(((T$39-$C64)/SAP!$C$10)*'C&amp;B'!$C$13/SAP!$C$143)+T$26)&lt;=SAP!$C$151,IF(T$39&lt;=$C64,T$26,(((T$39-$C64)/SAP!$C$10)*'C&amp;B'!$C$13/SAP!$C$143)+T$26),"Not Possible")</f>
        <v>3.7323914849564108</v>
      </c>
      <c r="V64" s="130" t="s">
        <v>615</v>
      </c>
      <c r="W64" s="82" t="e">
        <f>IF(D64=0,0,IF(D64&lt;4,'C&amp;B'!$E$316+(D64*'C&amp;B'!$E$317),D64*'C&amp;B'!$E$318))</f>
        <v>#VALUE!</v>
      </c>
      <c r="X64" s="82" t="e">
        <f>IF(E64=0,0,IF(E64&lt;4,'C&amp;B'!$E$316+(E64*'C&amp;B'!$E$317),E64*'C&amp;B'!$E$318))</f>
        <v>#VALUE!</v>
      </c>
      <c r="Y64" s="82">
        <f>IF(F64=0,0,IF(F64&lt;4,'C&amp;B'!$E$316+(F64*'C&amp;B'!$E$317),F64*'C&amp;B'!$E$318))</f>
        <v>3356.7589009638873</v>
      </c>
      <c r="Z64" s="82" t="e">
        <f>IF(G64=0,0,IF(G64&lt;4,'C&amp;B'!$E$316+(G64*'C&amp;B'!$E$317),G64*'C&amp;B'!$E$318))</f>
        <v>#VALUE!</v>
      </c>
      <c r="AA64" s="82">
        <f>IF(H64=0,0,IF(H64&lt;4,'C&amp;B'!$E$316+(H64*'C&amp;B'!$E$317),H64*'C&amp;B'!$E$318))</f>
        <v>3172.4247123980076</v>
      </c>
      <c r="AB64" s="82" t="e">
        <f>IF(I64=0,0,IF(I64&lt;4,'C&amp;B'!$E$316+(I64*'C&amp;B'!$E$317),I64*'C&amp;B'!$E$318))</f>
        <v>#VALUE!</v>
      </c>
      <c r="AC64" s="82">
        <f>IF(J64=0,0,IF(J64&lt;4,'C&amp;B'!$E$316+(J64*'C&amp;B'!$E$317),J64*'C&amp;B'!$E$318))</f>
        <v>5014.2976307166182</v>
      </c>
      <c r="AD64" s="82" t="e">
        <f>IF(K64=0,0,IF(K64&lt;4,'C&amp;B'!$E$316+(K64*'C&amp;B'!$E$317),K64*'C&amp;B'!$E$318))</f>
        <v>#VALUE!</v>
      </c>
      <c r="AE64" s="82">
        <f>IF(L64=0,0,IF(L64&lt;4,'C&amp;B'!$E$316+(L64*'C&amp;B'!$E$317),L64*'C&amp;B'!$E$318))</f>
        <v>4798.6662718555208</v>
      </c>
      <c r="AF64" s="82" t="e">
        <f>IF(M64=0,0,IF(M64&lt;4,'C&amp;B'!$E$316+(M64*'C&amp;B'!$E$317),M64*'C&amp;B'!$E$318))</f>
        <v>#VALUE!</v>
      </c>
      <c r="AG64" s="82">
        <f>IF(N64=0,0,IF(N64&lt;4,'C&amp;B'!$E$316+(N64*'C&amp;B'!$E$317),N64*'C&amp;B'!$E$318))</f>
        <v>4597.6610710567074</v>
      </c>
      <c r="AH64" s="82" t="e">
        <f>IF(O64=0,0,IF(O64&lt;4,'C&amp;B'!$E$316+(O64*'C&amp;B'!$E$317),O64*'C&amp;B'!$E$318))</f>
        <v>#VALUE!</v>
      </c>
      <c r="AI64" s="82">
        <f>IF(P64=0,0,IF(P64&lt;4,'C&amp;B'!$E$316+(P64*'C&amp;B'!$E$317),P64*'C&amp;B'!$E$318))</f>
        <v>3494.3009470955967</v>
      </c>
      <c r="AJ64" s="82" t="e">
        <f>IF(Q64=0,0,IF(Q64&lt;4,'C&amp;B'!$E$316+(Q64*'C&amp;B'!$E$317),Q64*'C&amp;B'!$E$318))</f>
        <v>#VALUE!</v>
      </c>
      <c r="AK64" s="82">
        <f>IF(R64=0,0,IF(R64&lt;4,'C&amp;B'!$E$316+(R64*'C&amp;B'!$E$317),R64*'C&amp;B'!$E$318))</f>
        <v>3383.066165780358</v>
      </c>
      <c r="AL64" s="82">
        <f>IF(S64=0,0,IF(S64&lt;4,'C&amp;B'!$E$316+(S64*'C&amp;B'!$E$317),S64*'C&amp;B'!$E$318))</f>
        <v>3267.5977420867366</v>
      </c>
      <c r="AM64" s="82">
        <f>IF(T64=0,0,IF(T64&lt;4,'C&amp;B'!$E$316+(T64*'C&amp;B'!$E$317),T64*'C&amp;B'!$E$318))</f>
        <v>3339.4348909738464</v>
      </c>
      <c r="AO64" s="130" t="s">
        <v>615</v>
      </c>
      <c r="AP64" s="82" t="e">
        <f t="shared" si="96"/>
        <v>#VALUE!</v>
      </c>
      <c r="AQ64" s="82" t="e">
        <f t="shared" si="97"/>
        <v>#VALUE!</v>
      </c>
      <c r="AR64" s="82">
        <f t="shared" si="98"/>
        <v>73997.358900963896</v>
      </c>
      <c r="AS64" s="82" t="e">
        <f t="shared" si="99"/>
        <v>#VALUE!</v>
      </c>
      <c r="AT64" s="82">
        <f t="shared" si="100"/>
        <v>77186.224712397991</v>
      </c>
      <c r="AU64" s="82" t="e">
        <f t="shared" si="101"/>
        <v>#VALUE!</v>
      </c>
      <c r="AV64" s="82">
        <f t="shared" si="102"/>
        <v>77176.297630716625</v>
      </c>
      <c r="AW64" s="82" t="e">
        <f t="shared" si="103"/>
        <v>#VALUE!</v>
      </c>
      <c r="AX64" s="82">
        <f t="shared" si="104"/>
        <v>78651.56627185551</v>
      </c>
      <c r="AY64" s="82" t="e">
        <f t="shared" si="105"/>
        <v>#VALUE!</v>
      </c>
      <c r="AZ64" s="82">
        <f t="shared" si="106"/>
        <v>80491.461071056692</v>
      </c>
      <c r="BA64" s="82" t="e">
        <f t="shared" si="107"/>
        <v>#VALUE!</v>
      </c>
      <c r="BB64" s="82">
        <f t="shared" si="108"/>
        <v>79389.100947095591</v>
      </c>
      <c r="BC64" s="82" t="e">
        <f t="shared" si="109"/>
        <v>#VALUE!</v>
      </c>
      <c r="BD64" s="82">
        <f t="shared" si="110"/>
        <v>80217.666165780363</v>
      </c>
      <c r="BE64" s="82">
        <f t="shared" si="111"/>
        <v>77278.39774208673</v>
      </c>
      <c r="BF64" s="82">
        <f t="shared" si="112"/>
        <v>73980.034890973853</v>
      </c>
    </row>
    <row r="65" spans="2:60" s="4" customFormat="1">
      <c r="B65" s="133" t="s">
        <v>668</v>
      </c>
      <c r="C65" s="127"/>
      <c r="D65" s="111"/>
      <c r="E65" s="113"/>
      <c r="F65" s="111"/>
      <c r="G65" s="111"/>
      <c r="H65" s="111"/>
      <c r="I65" s="111"/>
      <c r="J65" s="111"/>
      <c r="K65" s="111"/>
      <c r="L65" s="111"/>
      <c r="M65" s="111"/>
      <c r="N65" s="111"/>
      <c r="O65" s="111"/>
      <c r="P65" s="111"/>
      <c r="Q65" s="111"/>
      <c r="R65" s="111"/>
      <c r="S65" s="111"/>
      <c r="T65" s="132"/>
      <c r="V65" s="133" t="s">
        <v>668</v>
      </c>
      <c r="W65" s="82"/>
      <c r="X65" s="82"/>
      <c r="Y65" s="82"/>
      <c r="Z65" s="82"/>
      <c r="AA65" s="82"/>
      <c r="AB65" s="82"/>
      <c r="AC65" s="82"/>
      <c r="AD65" s="82"/>
      <c r="AE65" s="82"/>
      <c r="AF65" s="82"/>
      <c r="AG65" s="82"/>
      <c r="AH65" s="82"/>
      <c r="AI65" s="82"/>
      <c r="AJ65" s="82"/>
      <c r="AK65" s="82"/>
      <c r="AL65" s="82"/>
      <c r="AM65" s="82"/>
      <c r="AO65" s="133" t="s">
        <v>668</v>
      </c>
      <c r="AP65" s="82"/>
      <c r="AQ65" s="82"/>
      <c r="AR65" s="82"/>
      <c r="AS65" s="82"/>
      <c r="AT65" s="82"/>
      <c r="AU65" s="82"/>
      <c r="AV65" s="82"/>
      <c r="AW65" s="82"/>
      <c r="AX65" s="82"/>
      <c r="AY65" s="82"/>
      <c r="AZ65" s="82"/>
      <c r="BA65" s="82"/>
      <c r="BB65" s="82"/>
      <c r="BC65" s="82"/>
      <c r="BD65" s="82"/>
      <c r="BE65" s="82"/>
      <c r="BF65" s="82"/>
    </row>
    <row r="66" spans="2:60">
      <c r="B66" s="114" t="s">
        <v>609</v>
      </c>
      <c r="C66" s="127">
        <f>SAP!D167</f>
        <v>3.803801960613622</v>
      </c>
      <c r="D66" s="131" t="str">
        <f>IF(IF(D$39&lt;=$C66,D$26,(((D$39-$C66)/SAP!$C$10)*'C&amp;B'!$C$13/SAP!$C$143)+D$26)&lt;=SAP!$C$151,IF(D$39&lt;=$C66,D$26,(((D$39-$C66)/SAP!$C$10)*'C&amp;B'!$C$13/SAP!$C$143)+D$26),"Not Possible")</f>
        <v>Not Possible</v>
      </c>
      <c r="E66" s="131" t="str">
        <f>IF(IF(E$39&lt;=$C66,E$26,(((E$39-$C66)/SAP!$C$10)*'C&amp;B'!$C$13/SAP!$C$143)+E$26)&lt;=SAP!$C$151,IF(E$39&lt;=$C66,E$26,(((E$39-$C66)/SAP!$C$10)*'C&amp;B'!$C$13/SAP!$C$143)+E$26),"Not Possible")</f>
        <v>Not Possible</v>
      </c>
      <c r="F66" s="131">
        <f>IF(IF(F$39&lt;=$C66,F$26,(((F$39-$C66)/SAP!$C$10)*'C&amp;B'!$C$13/SAP!$C$143)+F$26)&lt;=SAP!$C$151,IF(F$39&lt;=$C66,F$26,(((F$39-$C66)/SAP!$C$10)*'C&amp;B'!$C$13/SAP!$C$143)+F$26),"Not Possible")</f>
        <v>0.14860193146191755</v>
      </c>
      <c r="G66" s="131" t="str">
        <f>IF(IF(G$39&lt;=$C66,G$26,(((G$39-$C66)/SAP!$C$10)*'C&amp;B'!$C$13/SAP!$C$143)+G$26)&lt;=SAP!$C$151,IF(G$39&lt;=$C66,G$26,(((G$39-$C66)/SAP!$C$10)*'C&amp;B'!$C$13/SAP!$C$143)+G$26),"Not Possible")</f>
        <v>Not Possible</v>
      </c>
      <c r="H66" s="131">
        <f>IF(IF(H$39&lt;=$C66,H$26,(((H$39-$C66)/SAP!$C$10)*'C&amp;B'!$C$13/SAP!$C$143)+H$26)&lt;=SAP!$C$151,IF(H$39&lt;=$C66,H$26,(((H$39-$C66)/SAP!$C$10)*'C&amp;B'!$C$13/SAP!$C$143)+H$26),"Not Possible")</f>
        <v>0</v>
      </c>
      <c r="I66" s="131" t="str">
        <f>IF(IF(I$39&lt;=$C66,I$26,(((I$39-$C66)/SAP!$C$10)*'C&amp;B'!$C$13/SAP!$C$143)+I$26)&lt;=SAP!$C$151,IF(I$39&lt;=$C66,I$26,(((I$39-$C66)/SAP!$C$10)*'C&amp;B'!$C$13/SAP!$C$143)+I$26),"Not Possible")</f>
        <v>Not Possible</v>
      </c>
      <c r="J66" s="131">
        <f>IF(IF(J$39&lt;=$C66,J$26,(((J$39-$C66)/SAP!$C$10)*'C&amp;B'!$C$13/SAP!$C$143)+J$26)&lt;=SAP!$C$151,IF(J$39&lt;=$C66,J$26,(((J$39-$C66)/SAP!$C$10)*'C&amp;B'!$C$13/SAP!$C$143)+J$26),"Not Possible")</f>
        <v>0.94578948808266738</v>
      </c>
      <c r="K66" s="131" t="str">
        <f>IF(IF(K$39&lt;=$C66,K$26,(((K$39-$C66)/SAP!$C$10)*'C&amp;B'!$C$13/SAP!$C$143)+K$26)&lt;=SAP!$C$151,IF(K$39&lt;=$C66,K$26,(((K$39-$C66)/SAP!$C$10)*'C&amp;B'!$C$13/SAP!$C$143)+K$26),"Not Possible")</f>
        <v>Not Possible</v>
      </c>
      <c r="L66" s="131">
        <f>IF(IF(L$39&lt;=$C66,L$26,(((L$39-$C66)/SAP!$C$10)*'C&amp;B'!$C$13/SAP!$C$143)+L$26)&lt;=SAP!$C$151,IF(L$39&lt;=$C66,L$26,(((L$39-$C66)/SAP!$C$10)*'C&amp;B'!$C$13/SAP!$C$143)+L$26),"Not Possible")</f>
        <v>0.7497609800271241</v>
      </c>
      <c r="M66" s="131" t="str">
        <f>IF(IF(M$39&lt;=$C66,M$26,(((M$39-$C66)/SAP!$C$10)*'C&amp;B'!$C$13/SAP!$C$143)+M$26)&lt;=SAP!$C$151,IF(M$39&lt;=$C66,M$26,(((M$39-$C66)/SAP!$C$10)*'C&amp;B'!$C$13/SAP!$C$143)+M$26),"Not Possible")</f>
        <v>Not Possible</v>
      </c>
      <c r="N66" s="131">
        <f>IF(IF(N$39&lt;=$C66,N$26,(((N$39-$C66)/SAP!$C$10)*'C&amp;B'!$C$13/SAP!$C$143)+N$26)&lt;=SAP!$C$151,IF(N$39&lt;=$C66,N$26,(((N$39-$C66)/SAP!$C$10)*'C&amp;B'!$C$13/SAP!$C$143)+N$26),"Not Possible")</f>
        <v>0.56702897930093077</v>
      </c>
      <c r="O66" s="131">
        <f>IF(IF(O$39&lt;=$C66,O$26,(((O$39-$C66)/SAP!$C$10)*'C&amp;B'!$C$13/SAP!$C$143)+O$26)&lt;=SAP!$C$151,IF(O$39&lt;=$C66,O$26,(((O$39-$C66)/SAP!$C$10)*'C&amp;B'!$C$13/SAP!$C$143)+O$26),"Not Possible")</f>
        <v>7.1037718282937226</v>
      </c>
      <c r="P66" s="131">
        <f>IF(IF(P$39&lt;=$C66,P$26,(((P$39-$C66)/SAP!$C$10)*'C&amp;B'!$C$13/SAP!$C$143)+P$26)&lt;=SAP!$C$151,IF(P$39&lt;=$C66,P$26,(((P$39-$C66)/SAP!$C$10)*'C&amp;B'!$C$13/SAP!$C$143)+P$26),"Not Possible")</f>
        <v>0.37783867501476698</v>
      </c>
      <c r="Q66" s="131">
        <f>IF(IF(Q$39&lt;=$C66,Q$26,(((Q$39-$C66)/SAP!$C$10)*'C&amp;B'!$C$13/SAP!$C$143)+Q$26)&lt;=SAP!$C$151,IF(Q$39&lt;=$C66,Q$26,(((Q$39-$C66)/SAP!$C$10)*'C&amp;B'!$C$13/SAP!$C$143)+Q$26),"Not Possible")</f>
        <v>6.0162809495134582</v>
      </c>
      <c r="R66" s="131">
        <f>IF(IF(R$39&lt;=$C66,R$26,(((R$39-$C66)/SAP!$C$10)*'C&amp;B'!$C$13/SAP!$C$143)+R$26)&lt;=SAP!$C$151,IF(R$39&lt;=$C66,R$26,(((R$39-$C66)/SAP!$C$10)*'C&amp;B'!$C$13/SAP!$C$143)+R$26),"Not Possible")</f>
        <v>0.19244737282270241</v>
      </c>
      <c r="S66" s="131">
        <f>IF(IF(S$39&lt;=$C66,S$26,(((S$39-$C66)/SAP!$C$10)*'C&amp;B'!$C$13/SAP!$C$143)+S$26)&lt;=SAP!$C$151,IF(S$39&lt;=$C66,S$26,(((S$39-$C66)/SAP!$C$10)*'C&amp;B'!$C$13/SAP!$C$143)+S$26),"Not Possible")</f>
        <v>0</v>
      </c>
      <c r="T66" s="131">
        <f>IF(IF(T$39&lt;=$C66,T$26,(((T$39-$C66)/SAP!$C$10)*'C&amp;B'!$C$13/SAP!$C$143)+T$26)&lt;=SAP!$C$151,IF(T$39&lt;=$C66,T$26,(((T$39-$C66)/SAP!$C$10)*'C&amp;B'!$C$13/SAP!$C$143)+T$26),"Not Possible")</f>
        <v>0.1197285814785162</v>
      </c>
      <c r="V66" s="130" t="s">
        <v>609</v>
      </c>
      <c r="W66" s="82" t="e">
        <f>IF(D66=0,0,IF(D66&lt;4,'C&amp;B'!$E$316+(D66*'C&amp;B'!$E$317),D66*'C&amp;B'!$E$318))</f>
        <v>#VALUE!</v>
      </c>
      <c r="X66" s="82" t="e">
        <f>IF(E66=0,0,IF(E66&lt;4,'C&amp;B'!$E$316+(E66*'C&amp;B'!$E$317),E66*'C&amp;B'!$E$318))</f>
        <v>#VALUE!</v>
      </c>
      <c r="Y66" s="82">
        <f>IF(F66=0,0,IF(F66&lt;4,'C&amp;B'!$E$316+(F66*'C&amp;B'!$E$317),F66*'C&amp;B'!$E$318))</f>
        <v>1189.1611588771505</v>
      </c>
      <c r="Z66" s="82" t="e">
        <f>IF(G66=0,0,IF(G66&lt;4,'C&amp;B'!$E$316+(G66*'C&amp;B'!$E$317),G66*'C&amp;B'!$E$318))</f>
        <v>#VALUE!</v>
      </c>
      <c r="AA66" s="82">
        <f>IF(H66=0,0,IF(H66&lt;4,'C&amp;B'!$E$316+(H66*'C&amp;B'!$E$317),H66*'C&amp;B'!$E$318))</f>
        <v>0</v>
      </c>
      <c r="AB66" s="82" t="e">
        <f>IF(I66=0,0,IF(I66&lt;4,'C&amp;B'!$E$316+(I66*'C&amp;B'!$E$317),I66*'C&amp;B'!$E$318))</f>
        <v>#VALUE!</v>
      </c>
      <c r="AC66" s="82">
        <f>IF(J66=0,0,IF(J66&lt;4,'C&amp;B'!$E$316+(J66*'C&amp;B'!$E$317),J66*'C&amp;B'!$E$318))</f>
        <v>1667.4736928496004</v>
      </c>
      <c r="AD66" s="82" t="e">
        <f>IF(K66=0,0,IF(K66&lt;4,'C&amp;B'!$E$316+(K66*'C&amp;B'!$E$317),K66*'C&amp;B'!$E$318))</f>
        <v>#VALUE!</v>
      </c>
      <c r="AE66" s="82">
        <f>IF(L66=0,0,IF(L66&lt;4,'C&amp;B'!$E$316+(L66*'C&amp;B'!$E$317),L66*'C&amp;B'!$E$318))</f>
        <v>1549.8565880162746</v>
      </c>
      <c r="AF66" s="82" t="e">
        <f>IF(M66=0,0,IF(M66&lt;4,'C&amp;B'!$E$316+(M66*'C&amp;B'!$E$317),M66*'C&amp;B'!$E$318))</f>
        <v>#VALUE!</v>
      </c>
      <c r="AG66" s="82">
        <f>IF(N66=0,0,IF(N66&lt;4,'C&amp;B'!$E$316+(N66*'C&amp;B'!$E$317),N66*'C&amp;B'!$E$318))</f>
        <v>1440.2173875805584</v>
      </c>
      <c r="AH66" s="82">
        <f>IF(O66=0,0,IF(O66&lt;4,'C&amp;B'!$E$316+(O66*'C&amp;B'!$E$317),O66*'C&amp;B'!$E$318))</f>
        <v>7814.1490111230951</v>
      </c>
      <c r="AI66" s="82">
        <f>IF(P66=0,0,IF(P66&lt;4,'C&amp;B'!$E$316+(P66*'C&amp;B'!$E$317),P66*'C&amp;B'!$E$318))</f>
        <v>1326.7032050088601</v>
      </c>
      <c r="AJ66" s="82">
        <f>IF(Q66=0,0,IF(Q66&lt;4,'C&amp;B'!$E$316+(Q66*'C&amp;B'!$E$317),Q66*'C&amp;B'!$E$318))</f>
        <v>6617.9090444648036</v>
      </c>
      <c r="AK66" s="82">
        <f>IF(R66=0,0,IF(R66&lt;4,'C&amp;B'!$E$316+(R66*'C&amp;B'!$E$317),R66*'C&amp;B'!$E$318))</f>
        <v>1215.4684236936214</v>
      </c>
      <c r="AL66" s="82">
        <f>IF(S66=0,0,IF(S66&lt;4,'C&amp;B'!$E$316+(S66*'C&amp;B'!$E$317),S66*'C&amp;B'!$E$318))</f>
        <v>0</v>
      </c>
      <c r="AM66" s="82">
        <f>IF(T66=0,0,IF(T66&lt;4,'C&amp;B'!$E$316+(T66*'C&amp;B'!$E$317),T66*'C&amp;B'!$E$318))</f>
        <v>1171.8371488871098</v>
      </c>
      <c r="AO66" s="130" t="s">
        <v>609</v>
      </c>
      <c r="AP66" s="82" t="e">
        <f>AP$27-AP$26+W66</f>
        <v>#VALUE!</v>
      </c>
      <c r="AQ66" s="82" t="e">
        <f t="shared" ref="AQ66:AQ72" si="113">AQ$27-AQ$26+X66</f>
        <v>#VALUE!</v>
      </c>
      <c r="AR66" s="82">
        <f t="shared" ref="AR66:AR72" si="114">AR$27-AR$26+Y66</f>
        <v>71829.761158877154</v>
      </c>
      <c r="AS66" s="82" t="e">
        <f t="shared" ref="AS66:AS72" si="115">AS$27-AS$26+Z66</f>
        <v>#VALUE!</v>
      </c>
      <c r="AT66" s="82">
        <f t="shared" ref="AT66:AT72" si="116">AT$27-AT$26+AA66</f>
        <v>74013.799999999988</v>
      </c>
      <c r="AU66" s="82" t="e">
        <f t="shared" ref="AU66:AU72" si="117">AU$27-AU$26+AB66</f>
        <v>#VALUE!</v>
      </c>
      <c r="AV66" s="82">
        <f t="shared" ref="AV66:AV72" si="118">AV$27-AV$26+AC66</f>
        <v>73829.473692849599</v>
      </c>
      <c r="AW66" s="82" t="e">
        <f t="shared" ref="AW66:AW72" si="119">AW$27-AW$26+AD66</f>
        <v>#VALUE!</v>
      </c>
      <c r="AX66" s="82">
        <f t="shared" ref="AX66:AX72" si="120">AX$27-AX$26+AE66</f>
        <v>75402.756588016273</v>
      </c>
      <c r="AY66" s="82" t="e">
        <f t="shared" ref="AY66:AY72" si="121">AY$27-AY$26+AF66</f>
        <v>#VALUE!</v>
      </c>
      <c r="AZ66" s="82">
        <f t="shared" ref="AZ66:AZ72" si="122">AZ$27-AZ$26+AG66</f>
        <v>77334.017387580549</v>
      </c>
      <c r="BA66" s="82">
        <f t="shared" ref="BA66:BA72" si="123">BA$27-BA$26+AH66</f>
        <v>83000.949011123084</v>
      </c>
      <c r="BB66" s="82">
        <f t="shared" ref="BB66:BB72" si="124">BB$27-BB$26+AI66</f>
        <v>77221.503205008848</v>
      </c>
      <c r="BC66" s="82">
        <f t="shared" ref="BC66:BC72" si="125">BC$27-BC$26+AJ66</f>
        <v>82744.509044464809</v>
      </c>
      <c r="BD66" s="82">
        <f t="shared" ref="BD66:BD72" si="126">BD$27-BD$26+AK66</f>
        <v>78050.068423693621</v>
      </c>
      <c r="BE66" s="82">
        <f t="shared" ref="BE66:BE72" si="127">BE$27-BE$26+AL66</f>
        <v>74010.799999999988</v>
      </c>
      <c r="BF66" s="82">
        <f t="shared" ref="BF66:BF72" si="128">BF$27-BF$26+AM66</f>
        <v>71812.437148887111</v>
      </c>
      <c r="BH66" s="4"/>
    </row>
    <row r="67" spans="2:60">
      <c r="B67" s="114" t="s">
        <v>610</v>
      </c>
      <c r="C67" s="127">
        <f>SAP!D168</f>
        <v>3.42342176455226</v>
      </c>
      <c r="D67" s="131" t="str">
        <f>IF(IF(D$39&lt;=$C67,D$26,(((D$39-$C67)/SAP!$C$10)*'C&amp;B'!$C$13/SAP!$C$143)+D$26)&lt;=SAP!$C$151,IF(D$39&lt;=$C67,D$26,(((D$39-$C67)/SAP!$C$10)*'C&amp;B'!$C$13/SAP!$C$143)+D$26),"Not Possible")</f>
        <v>Not Possible</v>
      </c>
      <c r="E67" s="131" t="str">
        <f>IF(IF(E$39&lt;=$C67,E$26,(((E$39-$C67)/SAP!$C$10)*'C&amp;B'!$C$13/SAP!$C$143)+E$26)&lt;=SAP!$C$151,IF(E$39&lt;=$C67,E$26,(((E$39-$C67)/SAP!$C$10)*'C&amp;B'!$C$13/SAP!$C$143)+E$26),"Not Possible")</f>
        <v>Not Possible</v>
      </c>
      <c r="F67" s="131">
        <f>IF(IF(F$39&lt;=$C67,F$26,(((F$39-$C67)/SAP!$C$10)*'C&amp;B'!$C$13/SAP!$C$143)+F$26)&lt;=SAP!$C$151,IF(F$39&lt;=$C67,F$26,(((F$39-$C67)/SAP!$C$10)*'C&amp;B'!$C$13/SAP!$C$143)+F$26),"Not Possible")</f>
        <v>0.50986822180970681</v>
      </c>
      <c r="G67" s="131" t="str">
        <f>IF(IF(G$39&lt;=$C67,G$26,(((G$39-$C67)/SAP!$C$10)*'C&amp;B'!$C$13/SAP!$C$143)+G$26)&lt;=SAP!$C$151,IF(G$39&lt;=$C67,G$26,(((G$39-$C67)/SAP!$C$10)*'C&amp;B'!$C$13/SAP!$C$143)+G$26),"Not Possible")</f>
        <v>Not Possible</v>
      </c>
      <c r="H67" s="131">
        <f>IF(IF(H$39&lt;=$C67,H$26,(((H$39-$C67)/SAP!$C$10)*'C&amp;B'!$C$13/SAP!$C$143)+H$26)&lt;=SAP!$C$151,IF(H$39&lt;=$C67,H$26,(((H$39-$C67)/SAP!$C$10)*'C&amp;B'!$C$13/SAP!$C$143)+H$26),"Not Possible")</f>
        <v>0.20264457419990742</v>
      </c>
      <c r="I67" s="131" t="str">
        <f>IF(IF(I$39&lt;=$C67,I$26,(((I$39-$C67)/SAP!$C$10)*'C&amp;B'!$C$13/SAP!$C$143)+I$26)&lt;=SAP!$C$151,IF(I$39&lt;=$C67,I$26,(((I$39-$C67)/SAP!$C$10)*'C&amp;B'!$C$13/SAP!$C$143)+I$26),"Not Possible")</f>
        <v>Not Possible</v>
      </c>
      <c r="J67" s="131">
        <f>IF(IF(J$39&lt;=$C67,J$26,(((J$39-$C67)/SAP!$C$10)*'C&amp;B'!$C$13/SAP!$C$143)+J$26)&lt;=SAP!$C$151,IF(J$39&lt;=$C67,J$26,(((J$39-$C67)/SAP!$C$10)*'C&amp;B'!$C$13/SAP!$C$143)+J$26),"Not Possible")</f>
        <v>1.3070557784304566</v>
      </c>
      <c r="K67" s="131" t="str">
        <f>IF(IF(K$39&lt;=$C67,K$26,(((K$39-$C67)/SAP!$C$10)*'C&amp;B'!$C$13/SAP!$C$143)+K$26)&lt;=SAP!$C$151,IF(K$39&lt;=$C67,K$26,(((K$39-$C67)/SAP!$C$10)*'C&amp;B'!$C$13/SAP!$C$143)+K$26),"Not Possible")</f>
        <v>Not Possible</v>
      </c>
      <c r="L67" s="131">
        <f>IF(IF(L$39&lt;=$C67,L$26,(((L$39-$C67)/SAP!$C$10)*'C&amp;B'!$C$13/SAP!$C$143)+L$26)&lt;=SAP!$C$151,IF(L$39&lt;=$C67,L$26,(((L$39-$C67)/SAP!$C$10)*'C&amp;B'!$C$13/SAP!$C$143)+L$26),"Not Possible")</f>
        <v>1.1110272703749133</v>
      </c>
      <c r="M67" s="131" t="str">
        <f>IF(IF(M$39&lt;=$C67,M$26,(((M$39-$C67)/SAP!$C$10)*'C&amp;B'!$C$13/SAP!$C$143)+M$26)&lt;=SAP!$C$151,IF(M$39&lt;=$C67,M$26,(((M$39-$C67)/SAP!$C$10)*'C&amp;B'!$C$13/SAP!$C$143)+M$26),"Not Possible")</f>
        <v>Not Possible</v>
      </c>
      <c r="N67" s="131">
        <f>IF(IF(N$39&lt;=$C67,N$26,(((N$39-$C67)/SAP!$C$10)*'C&amp;B'!$C$13/SAP!$C$143)+N$26)&lt;=SAP!$C$151,IF(N$39&lt;=$C67,N$26,(((N$39-$C67)/SAP!$C$10)*'C&amp;B'!$C$13/SAP!$C$143)+N$26),"Not Possible")</f>
        <v>0.92829526964872011</v>
      </c>
      <c r="O67" s="131" t="str">
        <f>IF(IF(O$39&lt;=$C67,O$26,(((O$39-$C67)/SAP!$C$10)*'C&amp;B'!$C$13/SAP!$C$143)+O$26)&lt;=SAP!$C$151,IF(O$39&lt;=$C67,O$26,(((O$39-$C67)/SAP!$C$10)*'C&amp;B'!$C$13/SAP!$C$143)+O$26),"Not Possible")</f>
        <v>Not Possible</v>
      </c>
      <c r="P67" s="131">
        <f>IF(IF(P$39&lt;=$C67,P$26,(((P$39-$C67)/SAP!$C$10)*'C&amp;B'!$C$13/SAP!$C$143)+P$26)&lt;=SAP!$C$151,IF(P$39&lt;=$C67,P$26,(((P$39-$C67)/SAP!$C$10)*'C&amp;B'!$C$13/SAP!$C$143)+P$26),"Not Possible")</f>
        <v>0.73910496536255621</v>
      </c>
      <c r="Q67" s="131">
        <f>IF(IF(Q$39&lt;=$C67,Q$26,(((Q$39-$C67)/SAP!$C$10)*'C&amp;B'!$C$13/SAP!$C$143)+Q$26)&lt;=SAP!$C$151,IF(Q$39&lt;=$C67,Q$26,(((Q$39-$C67)/SAP!$C$10)*'C&amp;B'!$C$13/SAP!$C$143)+Q$26),"Not Possible")</f>
        <v>6.3775472398612481</v>
      </c>
      <c r="R67" s="131">
        <f>IF(IF(R$39&lt;=$C67,R$26,(((R$39-$C67)/SAP!$C$10)*'C&amp;B'!$C$13/SAP!$C$143)+R$26)&lt;=SAP!$C$151,IF(R$39&lt;=$C67,R$26,(((R$39-$C67)/SAP!$C$10)*'C&amp;B'!$C$13/SAP!$C$143)+R$26),"Not Possible")</f>
        <v>0.55371366317049164</v>
      </c>
      <c r="S67" s="131">
        <f>IF(IF(S$39&lt;=$C67,S$26,(((S$39-$C67)/SAP!$C$10)*'C&amp;B'!$C$13/SAP!$C$143)+S$26)&lt;=SAP!$C$151,IF(S$39&lt;=$C67,S$26,(((S$39-$C67)/SAP!$C$10)*'C&amp;B'!$C$13/SAP!$C$143)+S$26),"Not Possible")</f>
        <v>0.36126629034778923</v>
      </c>
      <c r="T67" s="131">
        <f>IF(IF(T$39&lt;=$C67,T$26,(((T$39-$C67)/SAP!$C$10)*'C&amp;B'!$C$13/SAP!$C$143)+T$26)&lt;=SAP!$C$151,IF(T$39&lt;=$C67,T$26,(((T$39-$C67)/SAP!$C$10)*'C&amp;B'!$C$13/SAP!$C$143)+T$26),"Not Possible")</f>
        <v>0.48099487182630546</v>
      </c>
      <c r="V67" s="130" t="s">
        <v>610</v>
      </c>
      <c r="W67" s="82" t="e">
        <f>IF(D67=0,0,IF(D67&lt;4,'C&amp;B'!$E$316+(D67*'C&amp;B'!$E$317),D67*'C&amp;B'!$E$318))</f>
        <v>#VALUE!</v>
      </c>
      <c r="X67" s="82" t="e">
        <f>IF(E67=0,0,IF(E67&lt;4,'C&amp;B'!$E$316+(E67*'C&amp;B'!$E$317),E67*'C&amp;B'!$E$318))</f>
        <v>#VALUE!</v>
      </c>
      <c r="Y67" s="82">
        <f>IF(F67=0,0,IF(F67&lt;4,'C&amp;B'!$E$316+(F67*'C&amp;B'!$E$317),F67*'C&amp;B'!$E$318))</f>
        <v>1405.9209330858241</v>
      </c>
      <c r="Z67" s="82" t="e">
        <f>IF(G67=0,0,IF(G67&lt;4,'C&amp;B'!$E$316+(G67*'C&amp;B'!$E$317),G67*'C&amp;B'!$E$318))</f>
        <v>#VALUE!</v>
      </c>
      <c r="AA67" s="82">
        <f>IF(H67=0,0,IF(H67&lt;4,'C&amp;B'!$E$316+(H67*'C&amp;B'!$E$317),H67*'C&amp;B'!$E$318))</f>
        <v>1221.5867445199444</v>
      </c>
      <c r="AB67" s="82" t="e">
        <f>IF(I67=0,0,IF(I67&lt;4,'C&amp;B'!$E$316+(I67*'C&amp;B'!$E$317),I67*'C&amp;B'!$E$318))</f>
        <v>#VALUE!</v>
      </c>
      <c r="AC67" s="82">
        <f>IF(J67=0,0,IF(J67&lt;4,'C&amp;B'!$E$316+(J67*'C&amp;B'!$E$317),J67*'C&amp;B'!$E$318))</f>
        <v>1884.2334670582741</v>
      </c>
      <c r="AD67" s="82" t="e">
        <f>IF(K67=0,0,IF(K67&lt;4,'C&amp;B'!$E$316+(K67*'C&amp;B'!$E$317),K67*'C&amp;B'!$E$318))</f>
        <v>#VALUE!</v>
      </c>
      <c r="AE67" s="82">
        <f>IF(L67=0,0,IF(L67&lt;4,'C&amp;B'!$E$316+(L67*'C&amp;B'!$E$317),L67*'C&amp;B'!$E$318))</f>
        <v>1766.616362224948</v>
      </c>
      <c r="AF67" s="82" t="e">
        <f>IF(M67=0,0,IF(M67&lt;4,'C&amp;B'!$E$316+(M67*'C&amp;B'!$E$317),M67*'C&amp;B'!$E$318))</f>
        <v>#VALUE!</v>
      </c>
      <c r="AG67" s="82">
        <f>IF(N67=0,0,IF(N67&lt;4,'C&amp;B'!$E$316+(N67*'C&amp;B'!$E$317),N67*'C&amp;B'!$E$318))</f>
        <v>1656.977161789232</v>
      </c>
      <c r="AH67" s="82" t="e">
        <f>IF(O67=0,0,IF(O67&lt;4,'C&amp;B'!$E$316+(O67*'C&amp;B'!$E$317),O67*'C&amp;B'!$E$318))</f>
        <v>#VALUE!</v>
      </c>
      <c r="AI67" s="82">
        <f>IF(P67=0,0,IF(P67&lt;4,'C&amp;B'!$E$316+(P67*'C&amp;B'!$E$317),P67*'C&amp;B'!$E$318))</f>
        <v>1543.4629792175338</v>
      </c>
      <c r="AJ67" s="82">
        <f>IF(Q67=0,0,IF(Q67&lt;4,'C&amp;B'!$E$316+(Q67*'C&amp;B'!$E$317),Q67*'C&amp;B'!$E$318))</f>
        <v>7015.3019638473725</v>
      </c>
      <c r="AK67" s="82">
        <f>IF(R67=0,0,IF(R67&lt;4,'C&amp;B'!$E$316+(R67*'C&amp;B'!$E$317),R67*'C&amp;B'!$E$318))</f>
        <v>1432.2281979022951</v>
      </c>
      <c r="AL67" s="82">
        <f>IF(S67=0,0,IF(S67&lt;4,'C&amp;B'!$E$316+(S67*'C&amp;B'!$E$317),S67*'C&amp;B'!$E$318))</f>
        <v>1316.7597742086737</v>
      </c>
      <c r="AM67" s="82">
        <f>IF(T67=0,0,IF(T67&lt;4,'C&amp;B'!$E$316+(T67*'C&amp;B'!$E$317),T67*'C&amp;B'!$E$318))</f>
        <v>1388.5969230957833</v>
      </c>
      <c r="AO67" s="130" t="s">
        <v>610</v>
      </c>
      <c r="AP67" s="82" t="e">
        <f t="shared" ref="AP67:AP72" si="129">AP$27-AP$26+W67</f>
        <v>#VALUE!</v>
      </c>
      <c r="AQ67" s="82" t="e">
        <f t="shared" si="113"/>
        <v>#VALUE!</v>
      </c>
      <c r="AR67" s="82">
        <f t="shared" si="114"/>
        <v>72046.520933085834</v>
      </c>
      <c r="AS67" s="82" t="e">
        <f t="shared" si="115"/>
        <v>#VALUE!</v>
      </c>
      <c r="AT67" s="82">
        <f t="shared" si="116"/>
        <v>75235.386744519928</v>
      </c>
      <c r="AU67" s="82" t="e">
        <f t="shared" si="117"/>
        <v>#VALUE!</v>
      </c>
      <c r="AV67" s="82">
        <f t="shared" si="118"/>
        <v>74046.233467058279</v>
      </c>
      <c r="AW67" s="82" t="e">
        <f t="shared" si="119"/>
        <v>#VALUE!</v>
      </c>
      <c r="AX67" s="82">
        <f t="shared" si="120"/>
        <v>75619.516362224938</v>
      </c>
      <c r="AY67" s="82" t="e">
        <f t="shared" si="121"/>
        <v>#VALUE!</v>
      </c>
      <c r="AZ67" s="82">
        <f t="shared" si="122"/>
        <v>77550.777161789214</v>
      </c>
      <c r="BA67" s="82" t="e">
        <f t="shared" si="123"/>
        <v>#VALUE!</v>
      </c>
      <c r="BB67" s="82">
        <f t="shared" si="124"/>
        <v>77438.262979217528</v>
      </c>
      <c r="BC67" s="82">
        <f t="shared" si="125"/>
        <v>83141.901963847384</v>
      </c>
      <c r="BD67" s="82">
        <f t="shared" si="126"/>
        <v>78266.828197902301</v>
      </c>
      <c r="BE67" s="82">
        <f t="shared" si="127"/>
        <v>75327.559774208668</v>
      </c>
      <c r="BF67" s="82">
        <f t="shared" si="128"/>
        <v>72029.196923095791</v>
      </c>
    </row>
    <row r="68" spans="2:60">
      <c r="B68" s="114" t="s">
        <v>611</v>
      </c>
      <c r="C68" s="127">
        <f>SAP!D169</f>
        <v>3.0430415684908976</v>
      </c>
      <c r="D68" s="131" t="str">
        <f>IF(IF(D$39&lt;=$C68,D$26,(((D$39-$C68)/SAP!$C$10)*'C&amp;B'!$C$13/SAP!$C$143)+D$26)&lt;=SAP!$C$151,IF(D$39&lt;=$C68,D$26,(((D$39-$C68)/SAP!$C$10)*'C&amp;B'!$C$13/SAP!$C$143)+D$26),"Not Possible")</f>
        <v>Not Possible</v>
      </c>
      <c r="E68" s="131" t="str">
        <f>IF(IF(E$39&lt;=$C68,E$26,(((E$39-$C68)/SAP!$C$10)*'C&amp;B'!$C$13/SAP!$C$143)+E$26)&lt;=SAP!$C$151,IF(E$39&lt;=$C68,E$26,(((E$39-$C68)/SAP!$C$10)*'C&amp;B'!$C$13/SAP!$C$143)+E$26),"Not Possible")</f>
        <v>Not Possible</v>
      </c>
      <c r="F68" s="131">
        <f>IF(IF(F$39&lt;=$C68,F$26,(((F$39-$C68)/SAP!$C$10)*'C&amp;B'!$C$13/SAP!$C$143)+F$26)&lt;=SAP!$C$151,IF(F$39&lt;=$C68,F$26,(((F$39-$C68)/SAP!$C$10)*'C&amp;B'!$C$13/SAP!$C$143)+F$26),"Not Possible")</f>
        <v>0.87113451215749649</v>
      </c>
      <c r="G68" s="131" t="str">
        <f>IF(IF(G$39&lt;=$C68,G$26,(((G$39-$C68)/SAP!$C$10)*'C&amp;B'!$C$13/SAP!$C$143)+G$26)&lt;=SAP!$C$151,IF(G$39&lt;=$C68,G$26,(((G$39-$C68)/SAP!$C$10)*'C&amp;B'!$C$13/SAP!$C$143)+G$26),"Not Possible")</f>
        <v>Not Possible</v>
      </c>
      <c r="H68" s="131">
        <f>IF(IF(H$39&lt;=$C68,H$26,(((H$39-$C68)/SAP!$C$10)*'C&amp;B'!$C$13/SAP!$C$143)+H$26)&lt;=SAP!$C$151,IF(H$39&lt;=$C68,H$26,(((H$39-$C68)/SAP!$C$10)*'C&amp;B'!$C$13/SAP!$C$143)+H$26),"Not Possible")</f>
        <v>0.56391086454769712</v>
      </c>
      <c r="I68" s="131" t="str">
        <f>IF(IF(I$39&lt;=$C68,I$26,(((I$39-$C68)/SAP!$C$10)*'C&amp;B'!$C$13/SAP!$C$143)+I$26)&lt;=SAP!$C$151,IF(I$39&lt;=$C68,I$26,(((I$39-$C68)/SAP!$C$10)*'C&amp;B'!$C$13/SAP!$C$143)+I$26),"Not Possible")</f>
        <v>Not Possible</v>
      </c>
      <c r="J68" s="131">
        <f>IF(IF(J$39&lt;=$C68,J$26,(((J$39-$C68)/SAP!$C$10)*'C&amp;B'!$C$13/SAP!$C$143)+J$26)&lt;=SAP!$C$151,IF(J$39&lt;=$C68,J$26,(((J$39-$C68)/SAP!$C$10)*'C&amp;B'!$C$13/SAP!$C$143)+J$26),"Not Possible")</f>
        <v>1.6683220687782463</v>
      </c>
      <c r="K68" s="131" t="str">
        <f>IF(IF(K$39&lt;=$C68,K$26,(((K$39-$C68)/SAP!$C$10)*'C&amp;B'!$C$13/SAP!$C$143)+K$26)&lt;=SAP!$C$151,IF(K$39&lt;=$C68,K$26,(((K$39-$C68)/SAP!$C$10)*'C&amp;B'!$C$13/SAP!$C$143)+K$26),"Not Possible")</f>
        <v>Not Possible</v>
      </c>
      <c r="L68" s="131">
        <f>IF(IF(L$39&lt;=$C68,L$26,(((L$39-$C68)/SAP!$C$10)*'C&amp;B'!$C$13/SAP!$C$143)+L$26)&lt;=SAP!$C$151,IF(L$39&lt;=$C68,L$26,(((L$39-$C68)/SAP!$C$10)*'C&amp;B'!$C$13/SAP!$C$143)+L$26),"Not Possible")</f>
        <v>1.4722935607227032</v>
      </c>
      <c r="M68" s="131" t="str">
        <f>IF(IF(M$39&lt;=$C68,M$26,(((M$39-$C68)/SAP!$C$10)*'C&amp;B'!$C$13/SAP!$C$143)+M$26)&lt;=SAP!$C$151,IF(M$39&lt;=$C68,M$26,(((M$39-$C68)/SAP!$C$10)*'C&amp;B'!$C$13/SAP!$C$143)+M$26),"Not Possible")</f>
        <v>Not Possible</v>
      </c>
      <c r="N68" s="131">
        <f>IF(IF(N$39&lt;=$C68,N$26,(((N$39-$C68)/SAP!$C$10)*'C&amp;B'!$C$13/SAP!$C$143)+N$26)&lt;=SAP!$C$151,IF(N$39&lt;=$C68,N$26,(((N$39-$C68)/SAP!$C$10)*'C&amp;B'!$C$13/SAP!$C$143)+N$26),"Not Possible")</f>
        <v>1.2895615599965096</v>
      </c>
      <c r="O68" s="131" t="str">
        <f>IF(IF(O$39&lt;=$C68,O$26,(((O$39-$C68)/SAP!$C$10)*'C&amp;B'!$C$13/SAP!$C$143)+O$26)&lt;=SAP!$C$151,IF(O$39&lt;=$C68,O$26,(((O$39-$C68)/SAP!$C$10)*'C&amp;B'!$C$13/SAP!$C$143)+O$26),"Not Possible")</f>
        <v>Not Possible</v>
      </c>
      <c r="P68" s="131">
        <f>IF(IF(P$39&lt;=$C68,P$26,(((P$39-$C68)/SAP!$C$10)*'C&amp;B'!$C$13/SAP!$C$143)+P$26)&lt;=SAP!$C$151,IF(P$39&lt;=$C68,P$26,(((P$39-$C68)/SAP!$C$10)*'C&amp;B'!$C$13/SAP!$C$143)+P$26),"Not Possible")</f>
        <v>1.100371255710346</v>
      </c>
      <c r="Q68" s="131">
        <f>IF(IF(Q$39&lt;=$C68,Q$26,(((Q$39-$C68)/SAP!$C$10)*'C&amp;B'!$C$13/SAP!$C$143)+Q$26)&lt;=SAP!$C$151,IF(Q$39&lt;=$C68,Q$26,(((Q$39-$C68)/SAP!$C$10)*'C&amp;B'!$C$13/SAP!$C$143)+Q$26),"Not Possible")</f>
        <v>6.7388135302090371</v>
      </c>
      <c r="R68" s="131">
        <f>IF(IF(R$39&lt;=$C68,R$26,(((R$39-$C68)/SAP!$C$10)*'C&amp;B'!$C$13/SAP!$C$143)+R$26)&lt;=SAP!$C$151,IF(R$39&lt;=$C68,R$26,(((R$39-$C68)/SAP!$C$10)*'C&amp;B'!$C$13/SAP!$C$143)+R$26),"Not Possible")</f>
        <v>0.91497995351828132</v>
      </c>
      <c r="S68" s="131">
        <f>IF(IF(S$39&lt;=$C68,S$26,(((S$39-$C68)/SAP!$C$10)*'C&amp;B'!$C$13/SAP!$C$143)+S$26)&lt;=SAP!$C$151,IF(S$39&lt;=$C68,S$26,(((S$39-$C68)/SAP!$C$10)*'C&amp;B'!$C$13/SAP!$C$143)+S$26),"Not Possible")</f>
        <v>0.72253258069557891</v>
      </c>
      <c r="T68" s="131">
        <f>IF(IF(T$39&lt;=$C68,T$26,(((T$39-$C68)/SAP!$C$10)*'C&amp;B'!$C$13/SAP!$C$143)+T$26)&lt;=SAP!$C$151,IF(T$39&lt;=$C68,T$26,(((T$39-$C68)/SAP!$C$10)*'C&amp;B'!$C$13/SAP!$C$143)+T$26),"Not Possible")</f>
        <v>0.84226116217409497</v>
      </c>
      <c r="V68" s="130" t="s">
        <v>611</v>
      </c>
      <c r="W68" s="82" t="e">
        <f>IF(D68=0,0,IF(D68&lt;4,'C&amp;B'!$E$316+(D68*'C&amp;B'!$E$317),D68*'C&amp;B'!$E$318))</f>
        <v>#VALUE!</v>
      </c>
      <c r="X68" s="82" t="e">
        <f>IF(E68=0,0,IF(E68&lt;4,'C&amp;B'!$E$316+(E68*'C&amp;B'!$E$317),E68*'C&amp;B'!$E$318))</f>
        <v>#VALUE!</v>
      </c>
      <c r="Y68" s="82">
        <f>IF(F68=0,0,IF(F68&lt;4,'C&amp;B'!$E$316+(F68*'C&amp;B'!$E$317),F68*'C&amp;B'!$E$318))</f>
        <v>1622.680707294498</v>
      </c>
      <c r="Z68" s="82" t="e">
        <f>IF(G68=0,0,IF(G68&lt;4,'C&amp;B'!$E$316+(G68*'C&amp;B'!$E$317),G68*'C&amp;B'!$E$318))</f>
        <v>#VALUE!</v>
      </c>
      <c r="AA68" s="82">
        <f>IF(H68=0,0,IF(H68&lt;4,'C&amp;B'!$E$316+(H68*'C&amp;B'!$E$317),H68*'C&amp;B'!$E$318))</f>
        <v>1438.3465187286183</v>
      </c>
      <c r="AB68" s="82" t="e">
        <f>IF(I68=0,0,IF(I68&lt;4,'C&amp;B'!$E$316+(I68*'C&amp;B'!$E$317),I68*'C&amp;B'!$E$318))</f>
        <v>#VALUE!</v>
      </c>
      <c r="AC68" s="82">
        <f>IF(J68=0,0,IF(J68&lt;4,'C&amp;B'!$E$316+(J68*'C&amp;B'!$E$317),J68*'C&amp;B'!$E$318))</f>
        <v>2100.9932412669477</v>
      </c>
      <c r="AD68" s="82" t="e">
        <f>IF(K68=0,0,IF(K68&lt;4,'C&amp;B'!$E$316+(K68*'C&amp;B'!$E$317),K68*'C&amp;B'!$E$318))</f>
        <v>#VALUE!</v>
      </c>
      <c r="AE68" s="82">
        <f>IF(L68=0,0,IF(L68&lt;4,'C&amp;B'!$E$316+(L68*'C&amp;B'!$E$317),L68*'C&amp;B'!$E$318))</f>
        <v>1983.3761364336219</v>
      </c>
      <c r="AF68" s="82" t="e">
        <f>IF(M68=0,0,IF(M68&lt;4,'C&amp;B'!$E$316+(M68*'C&amp;B'!$E$317),M68*'C&amp;B'!$E$318))</f>
        <v>#VALUE!</v>
      </c>
      <c r="AG68" s="82">
        <f>IF(N68=0,0,IF(N68&lt;4,'C&amp;B'!$E$316+(N68*'C&amp;B'!$E$317),N68*'C&amp;B'!$E$318))</f>
        <v>1873.7369359979057</v>
      </c>
      <c r="AH68" s="82" t="e">
        <f>IF(O68=0,0,IF(O68&lt;4,'C&amp;B'!$E$316+(O68*'C&amp;B'!$E$317),O68*'C&amp;B'!$E$318))</f>
        <v>#VALUE!</v>
      </c>
      <c r="AI68" s="82">
        <f>IF(P68=0,0,IF(P68&lt;4,'C&amp;B'!$E$316+(P68*'C&amp;B'!$E$317),P68*'C&amp;B'!$E$318))</f>
        <v>1760.2227534262076</v>
      </c>
      <c r="AJ68" s="82">
        <f>IF(Q68=0,0,IF(Q68&lt;4,'C&amp;B'!$E$316+(Q68*'C&amp;B'!$E$317),Q68*'C&amp;B'!$E$318))</f>
        <v>7412.6948832299404</v>
      </c>
      <c r="AK68" s="82">
        <f>IF(R68=0,0,IF(R68&lt;4,'C&amp;B'!$E$316+(R68*'C&amp;B'!$E$317),R68*'C&amp;B'!$E$318))</f>
        <v>1648.9879721109687</v>
      </c>
      <c r="AL68" s="82">
        <f>IF(S68=0,0,IF(S68&lt;4,'C&amp;B'!$E$316+(S68*'C&amp;B'!$E$317),S68*'C&amp;B'!$E$318))</f>
        <v>1533.5195484173473</v>
      </c>
      <c r="AM68" s="82">
        <f>IF(T68=0,0,IF(T68&lt;4,'C&amp;B'!$E$316+(T68*'C&amp;B'!$E$317),T68*'C&amp;B'!$E$318))</f>
        <v>1605.3566973044569</v>
      </c>
      <c r="AO68" s="130" t="s">
        <v>611</v>
      </c>
      <c r="AP68" s="82" t="e">
        <f t="shared" si="129"/>
        <v>#VALUE!</v>
      </c>
      <c r="AQ68" s="82" t="e">
        <f t="shared" si="113"/>
        <v>#VALUE!</v>
      </c>
      <c r="AR68" s="82">
        <f t="shared" si="114"/>
        <v>72263.2807072945</v>
      </c>
      <c r="AS68" s="82" t="e">
        <f t="shared" si="115"/>
        <v>#VALUE!</v>
      </c>
      <c r="AT68" s="82">
        <f t="shared" si="116"/>
        <v>75452.146518728608</v>
      </c>
      <c r="AU68" s="82" t="e">
        <f t="shared" si="117"/>
        <v>#VALUE!</v>
      </c>
      <c r="AV68" s="82">
        <f t="shared" si="118"/>
        <v>74262.993241266944</v>
      </c>
      <c r="AW68" s="82" t="e">
        <f t="shared" si="119"/>
        <v>#VALUE!</v>
      </c>
      <c r="AX68" s="82">
        <f t="shared" si="120"/>
        <v>75836.276136433618</v>
      </c>
      <c r="AY68" s="82" t="e">
        <f t="shared" si="121"/>
        <v>#VALUE!</v>
      </c>
      <c r="AZ68" s="82">
        <f t="shared" si="122"/>
        <v>77767.536935997894</v>
      </c>
      <c r="BA68" s="82" t="e">
        <f t="shared" si="123"/>
        <v>#VALUE!</v>
      </c>
      <c r="BB68" s="82">
        <f t="shared" si="124"/>
        <v>77655.022753426194</v>
      </c>
      <c r="BC68" s="82">
        <f t="shared" si="125"/>
        <v>83539.294883229944</v>
      </c>
      <c r="BD68" s="82">
        <f t="shared" si="126"/>
        <v>78483.587972110981</v>
      </c>
      <c r="BE68" s="82">
        <f t="shared" si="127"/>
        <v>75544.319548417334</v>
      </c>
      <c r="BF68" s="82">
        <f t="shared" si="128"/>
        <v>72245.956697304457</v>
      </c>
    </row>
    <row r="69" spans="2:60">
      <c r="B69" s="114" t="s">
        <v>612</v>
      </c>
      <c r="C69" s="127">
        <f>SAP!D170</f>
        <v>2.6626613724295352</v>
      </c>
      <c r="D69" s="131" t="str">
        <f>IF(IF(D$39&lt;=$C69,D$26,(((D$39-$C69)/SAP!$C$10)*'C&amp;B'!$C$13/SAP!$C$143)+D$26)&lt;=SAP!$C$151,IF(D$39&lt;=$C69,D$26,(((D$39-$C69)/SAP!$C$10)*'C&amp;B'!$C$13/SAP!$C$143)+D$26),"Not Possible")</f>
        <v>Not Possible</v>
      </c>
      <c r="E69" s="131" t="str">
        <f>IF(IF(E$39&lt;=$C69,E$26,(((E$39-$C69)/SAP!$C$10)*'C&amp;B'!$C$13/SAP!$C$143)+E$26)&lt;=SAP!$C$151,IF(E$39&lt;=$C69,E$26,(((E$39-$C69)/SAP!$C$10)*'C&amp;B'!$C$13/SAP!$C$143)+E$26),"Not Possible")</f>
        <v>Not Possible</v>
      </c>
      <c r="F69" s="131">
        <f>IF(IF(F$39&lt;=$C69,F$26,(((F$39-$C69)/SAP!$C$10)*'C&amp;B'!$C$13/SAP!$C$143)+F$26)&lt;=SAP!$C$151,IF(F$39&lt;=$C69,F$26,(((F$39-$C69)/SAP!$C$10)*'C&amp;B'!$C$13/SAP!$C$143)+F$26),"Not Possible")</f>
        <v>1.2324008025052862</v>
      </c>
      <c r="G69" s="131" t="str">
        <f>IF(IF(G$39&lt;=$C69,G$26,(((G$39-$C69)/SAP!$C$10)*'C&amp;B'!$C$13/SAP!$C$143)+G$26)&lt;=SAP!$C$151,IF(G$39&lt;=$C69,G$26,(((G$39-$C69)/SAP!$C$10)*'C&amp;B'!$C$13/SAP!$C$143)+G$26),"Not Possible")</f>
        <v>Not Possible</v>
      </c>
      <c r="H69" s="131">
        <f>IF(IF(H$39&lt;=$C69,H$26,(((H$39-$C69)/SAP!$C$10)*'C&amp;B'!$C$13/SAP!$C$143)+H$26)&lt;=SAP!$C$151,IF(H$39&lt;=$C69,H$26,(((H$39-$C69)/SAP!$C$10)*'C&amp;B'!$C$13/SAP!$C$143)+H$26),"Not Possible")</f>
        <v>0.9251771548954868</v>
      </c>
      <c r="I69" s="131" t="str">
        <f>IF(IF(I$39&lt;=$C69,I$26,(((I$39-$C69)/SAP!$C$10)*'C&amp;B'!$C$13/SAP!$C$143)+I$26)&lt;=SAP!$C$151,IF(I$39&lt;=$C69,I$26,(((I$39-$C69)/SAP!$C$10)*'C&amp;B'!$C$13/SAP!$C$143)+I$26),"Not Possible")</f>
        <v>Not Possible</v>
      </c>
      <c r="J69" s="131">
        <f>IF(IF(J$39&lt;=$C69,J$26,(((J$39-$C69)/SAP!$C$10)*'C&amp;B'!$C$13/SAP!$C$143)+J$26)&lt;=SAP!$C$151,IF(J$39&lt;=$C69,J$26,(((J$39-$C69)/SAP!$C$10)*'C&amp;B'!$C$13/SAP!$C$143)+J$26),"Not Possible")</f>
        <v>2.029588359126036</v>
      </c>
      <c r="K69" s="131" t="str">
        <f>IF(IF(K$39&lt;=$C69,K$26,(((K$39-$C69)/SAP!$C$10)*'C&amp;B'!$C$13/SAP!$C$143)+K$26)&lt;=SAP!$C$151,IF(K$39&lt;=$C69,K$26,(((K$39-$C69)/SAP!$C$10)*'C&amp;B'!$C$13/SAP!$C$143)+K$26),"Not Possible")</f>
        <v>Not Possible</v>
      </c>
      <c r="L69" s="131">
        <f>IF(IF(L$39&lt;=$C69,L$26,(((L$39-$C69)/SAP!$C$10)*'C&amp;B'!$C$13/SAP!$C$143)+L$26)&lt;=SAP!$C$151,IF(L$39&lt;=$C69,L$26,(((L$39-$C69)/SAP!$C$10)*'C&amp;B'!$C$13/SAP!$C$143)+L$26),"Not Possible")</f>
        <v>1.8335598510704927</v>
      </c>
      <c r="M69" s="131" t="str">
        <f>IF(IF(M$39&lt;=$C69,M$26,(((M$39-$C69)/SAP!$C$10)*'C&amp;B'!$C$13/SAP!$C$143)+M$26)&lt;=SAP!$C$151,IF(M$39&lt;=$C69,M$26,(((M$39-$C69)/SAP!$C$10)*'C&amp;B'!$C$13/SAP!$C$143)+M$26),"Not Possible")</f>
        <v>Not Possible</v>
      </c>
      <c r="N69" s="131">
        <f>IF(IF(N$39&lt;=$C69,N$26,(((N$39-$C69)/SAP!$C$10)*'C&amp;B'!$C$13/SAP!$C$143)+N$26)&lt;=SAP!$C$151,IF(N$39&lt;=$C69,N$26,(((N$39-$C69)/SAP!$C$10)*'C&amp;B'!$C$13/SAP!$C$143)+N$26),"Not Possible")</f>
        <v>1.6508278503442992</v>
      </c>
      <c r="O69" s="131" t="str">
        <f>IF(IF(O$39&lt;=$C69,O$26,(((O$39-$C69)/SAP!$C$10)*'C&amp;B'!$C$13/SAP!$C$143)+O$26)&lt;=SAP!$C$151,IF(O$39&lt;=$C69,O$26,(((O$39-$C69)/SAP!$C$10)*'C&amp;B'!$C$13/SAP!$C$143)+O$26),"Not Possible")</f>
        <v>Not Possible</v>
      </c>
      <c r="P69" s="131">
        <f>IF(IF(P$39&lt;=$C69,P$26,(((P$39-$C69)/SAP!$C$10)*'C&amp;B'!$C$13/SAP!$C$143)+P$26)&lt;=SAP!$C$151,IF(P$39&lt;=$C69,P$26,(((P$39-$C69)/SAP!$C$10)*'C&amp;B'!$C$13/SAP!$C$143)+P$26),"Not Possible")</f>
        <v>1.4616375460581355</v>
      </c>
      <c r="Q69" s="131">
        <f>IF(IF(Q$39&lt;=$C69,Q$26,(((Q$39-$C69)/SAP!$C$10)*'C&amp;B'!$C$13/SAP!$C$143)+Q$26)&lt;=SAP!$C$151,IF(Q$39&lt;=$C69,Q$26,(((Q$39-$C69)/SAP!$C$10)*'C&amp;B'!$C$13/SAP!$C$143)+Q$26),"Not Possible")</f>
        <v>7.100079820556827</v>
      </c>
      <c r="R69" s="131">
        <f>IF(IF(R$39&lt;=$C69,R$26,(((R$39-$C69)/SAP!$C$10)*'C&amp;B'!$C$13/SAP!$C$143)+R$26)&lt;=SAP!$C$151,IF(R$39&lt;=$C69,R$26,(((R$39-$C69)/SAP!$C$10)*'C&amp;B'!$C$13/SAP!$C$143)+R$26),"Not Possible")</f>
        <v>1.2762462438660709</v>
      </c>
      <c r="S69" s="131">
        <f>IF(IF(S$39&lt;=$C69,S$26,(((S$39-$C69)/SAP!$C$10)*'C&amp;B'!$C$13/SAP!$C$143)+S$26)&lt;=SAP!$C$151,IF(S$39&lt;=$C69,S$26,(((S$39-$C69)/SAP!$C$10)*'C&amp;B'!$C$13/SAP!$C$143)+S$26),"Not Possible")</f>
        <v>1.0837988710433686</v>
      </c>
      <c r="T69" s="131">
        <f>IF(IF(T$39&lt;=$C69,T$26,(((T$39-$C69)/SAP!$C$10)*'C&amp;B'!$C$13/SAP!$C$143)+T$26)&lt;=SAP!$C$151,IF(T$39&lt;=$C69,T$26,(((T$39-$C69)/SAP!$C$10)*'C&amp;B'!$C$13/SAP!$C$143)+T$26),"Not Possible")</f>
        <v>1.2035274525218846</v>
      </c>
      <c r="V69" s="130" t="s">
        <v>612</v>
      </c>
      <c r="W69" s="82" t="e">
        <f>IF(D69=0,0,IF(D69&lt;4,'C&amp;B'!$E$316+(D69*'C&amp;B'!$E$317),D69*'C&amp;B'!$E$318))</f>
        <v>#VALUE!</v>
      </c>
      <c r="X69" s="82" t="e">
        <f>IF(E69=0,0,IF(E69&lt;4,'C&amp;B'!$E$316+(E69*'C&amp;B'!$E$317),E69*'C&amp;B'!$E$318))</f>
        <v>#VALUE!</v>
      </c>
      <c r="Y69" s="82">
        <f>IF(F69=0,0,IF(F69&lt;4,'C&amp;B'!$E$316+(F69*'C&amp;B'!$E$317),F69*'C&amp;B'!$E$318))</f>
        <v>1839.4404815031717</v>
      </c>
      <c r="Z69" s="82" t="e">
        <f>IF(G69=0,0,IF(G69&lt;4,'C&amp;B'!$E$316+(G69*'C&amp;B'!$E$317),G69*'C&amp;B'!$E$318))</f>
        <v>#VALUE!</v>
      </c>
      <c r="AA69" s="82">
        <f>IF(H69=0,0,IF(H69&lt;4,'C&amp;B'!$E$316+(H69*'C&amp;B'!$E$317),H69*'C&amp;B'!$E$318))</f>
        <v>1655.106292937292</v>
      </c>
      <c r="AB69" s="82" t="e">
        <f>IF(I69=0,0,IF(I69&lt;4,'C&amp;B'!$E$316+(I69*'C&amp;B'!$E$317),I69*'C&amp;B'!$E$318))</f>
        <v>#VALUE!</v>
      </c>
      <c r="AC69" s="82">
        <f>IF(J69=0,0,IF(J69&lt;4,'C&amp;B'!$E$316+(J69*'C&amp;B'!$E$317),J69*'C&amp;B'!$E$318))</f>
        <v>2317.7530154756214</v>
      </c>
      <c r="AD69" s="82" t="e">
        <f>IF(K69=0,0,IF(K69&lt;4,'C&amp;B'!$E$316+(K69*'C&amp;B'!$E$317),K69*'C&amp;B'!$E$318))</f>
        <v>#VALUE!</v>
      </c>
      <c r="AE69" s="82">
        <f>IF(L69=0,0,IF(L69&lt;4,'C&amp;B'!$E$316+(L69*'C&amp;B'!$E$317),L69*'C&amp;B'!$E$318))</f>
        <v>2200.1359106422956</v>
      </c>
      <c r="AF69" s="82" t="e">
        <f>IF(M69=0,0,IF(M69&lt;4,'C&amp;B'!$E$316+(M69*'C&amp;B'!$E$317),M69*'C&amp;B'!$E$318))</f>
        <v>#VALUE!</v>
      </c>
      <c r="AG69" s="82">
        <f>IF(N69=0,0,IF(N69&lt;4,'C&amp;B'!$E$316+(N69*'C&amp;B'!$E$317),N69*'C&amp;B'!$E$318))</f>
        <v>2090.4967102065793</v>
      </c>
      <c r="AH69" s="82" t="e">
        <f>IF(O69=0,0,IF(O69&lt;4,'C&amp;B'!$E$316+(O69*'C&amp;B'!$E$317),O69*'C&amp;B'!$E$318))</f>
        <v>#VALUE!</v>
      </c>
      <c r="AI69" s="82">
        <f>IF(P69=0,0,IF(P69&lt;4,'C&amp;B'!$E$316+(P69*'C&amp;B'!$E$317),P69*'C&amp;B'!$E$318))</f>
        <v>1976.9825276348813</v>
      </c>
      <c r="AJ69" s="82">
        <f>IF(Q69=0,0,IF(Q69&lt;4,'C&amp;B'!$E$316+(Q69*'C&amp;B'!$E$317),Q69*'C&amp;B'!$E$318))</f>
        <v>7810.0878026125092</v>
      </c>
      <c r="AK69" s="82">
        <f>IF(R69=0,0,IF(R69&lt;4,'C&amp;B'!$E$316+(R69*'C&amp;B'!$E$317),R69*'C&amp;B'!$E$318))</f>
        <v>1865.7477463196424</v>
      </c>
      <c r="AL69" s="82">
        <f>IF(S69=0,0,IF(S69&lt;4,'C&amp;B'!$E$316+(S69*'C&amp;B'!$E$317),S69*'C&amp;B'!$E$318))</f>
        <v>1750.279322626021</v>
      </c>
      <c r="AM69" s="82">
        <f>IF(T69=0,0,IF(T69&lt;4,'C&amp;B'!$E$316+(T69*'C&amp;B'!$E$317),T69*'C&amp;B'!$E$318))</f>
        <v>1822.1164715131308</v>
      </c>
      <c r="AO69" s="130" t="s">
        <v>612</v>
      </c>
      <c r="AP69" s="82" t="e">
        <f t="shared" si="129"/>
        <v>#VALUE!</v>
      </c>
      <c r="AQ69" s="82" t="e">
        <f t="shared" si="113"/>
        <v>#VALUE!</v>
      </c>
      <c r="AR69" s="82">
        <f t="shared" si="114"/>
        <v>72480.04048150318</v>
      </c>
      <c r="AS69" s="82" t="e">
        <f t="shared" si="115"/>
        <v>#VALUE!</v>
      </c>
      <c r="AT69" s="82">
        <f t="shared" si="116"/>
        <v>75668.906292937274</v>
      </c>
      <c r="AU69" s="82" t="e">
        <f t="shared" si="117"/>
        <v>#VALUE!</v>
      </c>
      <c r="AV69" s="82">
        <f t="shared" si="118"/>
        <v>74479.753015475624</v>
      </c>
      <c r="AW69" s="82" t="e">
        <f t="shared" si="119"/>
        <v>#VALUE!</v>
      </c>
      <c r="AX69" s="82">
        <f t="shared" si="120"/>
        <v>76053.035910642284</v>
      </c>
      <c r="AY69" s="82" t="e">
        <f t="shared" si="121"/>
        <v>#VALUE!</v>
      </c>
      <c r="AZ69" s="82">
        <f t="shared" si="122"/>
        <v>77984.296710206574</v>
      </c>
      <c r="BA69" s="82" t="e">
        <f t="shared" si="123"/>
        <v>#VALUE!</v>
      </c>
      <c r="BB69" s="82">
        <f t="shared" si="124"/>
        <v>77871.782527634874</v>
      </c>
      <c r="BC69" s="82">
        <f t="shared" si="125"/>
        <v>83936.68780261252</v>
      </c>
      <c r="BD69" s="82">
        <f t="shared" si="126"/>
        <v>78700.347746319647</v>
      </c>
      <c r="BE69" s="82">
        <f t="shared" si="127"/>
        <v>75761.079322626014</v>
      </c>
      <c r="BF69" s="82">
        <f t="shared" si="128"/>
        <v>72462.716471513137</v>
      </c>
    </row>
    <row r="70" spans="2:60">
      <c r="B70" s="114" t="s">
        <v>613</v>
      </c>
      <c r="C70" s="127">
        <f>SAP!D171</f>
        <v>2.2822811763681732</v>
      </c>
      <c r="D70" s="131" t="str">
        <f>IF(IF(D$39&lt;=$C70,D$26,(((D$39-$C70)/SAP!$C$10)*'C&amp;B'!$C$13/SAP!$C$143)+D$26)&lt;=SAP!$C$151,IF(D$39&lt;=$C70,D$26,(((D$39-$C70)/SAP!$C$10)*'C&amp;B'!$C$13/SAP!$C$143)+D$26),"Not Possible")</f>
        <v>Not Possible</v>
      </c>
      <c r="E70" s="131" t="str">
        <f>IF(IF(E$39&lt;=$C70,E$26,(((E$39-$C70)/SAP!$C$10)*'C&amp;B'!$C$13/SAP!$C$143)+E$26)&lt;=SAP!$C$151,IF(E$39&lt;=$C70,E$26,(((E$39-$C70)/SAP!$C$10)*'C&amp;B'!$C$13/SAP!$C$143)+E$26),"Not Possible")</f>
        <v>Not Possible</v>
      </c>
      <c r="F70" s="131">
        <f>IF(IF(F$39&lt;=$C70,F$26,(((F$39-$C70)/SAP!$C$10)*'C&amp;B'!$C$13/SAP!$C$143)+F$26)&lt;=SAP!$C$151,IF(F$39&lt;=$C70,F$26,(((F$39-$C70)/SAP!$C$10)*'C&amp;B'!$C$13/SAP!$C$143)+F$26),"Not Possible")</f>
        <v>1.5936670928530754</v>
      </c>
      <c r="G70" s="131" t="str">
        <f>IF(IF(G$39&lt;=$C70,G$26,(((G$39-$C70)/SAP!$C$10)*'C&amp;B'!$C$13/SAP!$C$143)+G$26)&lt;=SAP!$C$151,IF(G$39&lt;=$C70,G$26,(((G$39-$C70)/SAP!$C$10)*'C&amp;B'!$C$13/SAP!$C$143)+G$26),"Not Possible")</f>
        <v>Not Possible</v>
      </c>
      <c r="H70" s="131">
        <f>IF(IF(H$39&lt;=$C70,H$26,(((H$39-$C70)/SAP!$C$10)*'C&amp;B'!$C$13/SAP!$C$143)+H$26)&lt;=SAP!$C$151,IF(H$39&lt;=$C70,H$26,(((H$39-$C70)/SAP!$C$10)*'C&amp;B'!$C$13/SAP!$C$143)+H$26),"Not Possible")</f>
        <v>1.286443445243276</v>
      </c>
      <c r="I70" s="131" t="str">
        <f>IF(IF(I$39&lt;=$C70,I$26,(((I$39-$C70)/SAP!$C$10)*'C&amp;B'!$C$13/SAP!$C$143)+I$26)&lt;=SAP!$C$151,IF(I$39&lt;=$C70,I$26,(((I$39-$C70)/SAP!$C$10)*'C&amp;B'!$C$13/SAP!$C$143)+I$26),"Not Possible")</f>
        <v>Not Possible</v>
      </c>
      <c r="J70" s="131">
        <f>IF(IF(J$39&lt;=$C70,J$26,(((J$39-$C70)/SAP!$C$10)*'C&amp;B'!$C$13/SAP!$C$143)+J$26)&lt;=SAP!$C$151,IF(J$39&lt;=$C70,J$26,(((J$39-$C70)/SAP!$C$10)*'C&amp;B'!$C$13/SAP!$C$143)+J$26),"Not Possible")</f>
        <v>2.3908546494738254</v>
      </c>
      <c r="K70" s="131" t="str">
        <f>IF(IF(K$39&lt;=$C70,K$26,(((K$39-$C70)/SAP!$C$10)*'C&amp;B'!$C$13/SAP!$C$143)+K$26)&lt;=SAP!$C$151,IF(K$39&lt;=$C70,K$26,(((K$39-$C70)/SAP!$C$10)*'C&amp;B'!$C$13/SAP!$C$143)+K$26),"Not Possible")</f>
        <v>Not Possible</v>
      </c>
      <c r="L70" s="131">
        <f>IF(IF(L$39&lt;=$C70,L$26,(((L$39-$C70)/SAP!$C$10)*'C&amp;B'!$C$13/SAP!$C$143)+L$26)&lt;=SAP!$C$151,IF(L$39&lt;=$C70,L$26,(((L$39-$C70)/SAP!$C$10)*'C&amp;B'!$C$13/SAP!$C$143)+L$26),"Not Possible")</f>
        <v>2.1948261414182819</v>
      </c>
      <c r="M70" s="131" t="str">
        <f>IF(IF(M$39&lt;=$C70,M$26,(((M$39-$C70)/SAP!$C$10)*'C&amp;B'!$C$13/SAP!$C$143)+M$26)&lt;=SAP!$C$151,IF(M$39&lt;=$C70,M$26,(((M$39-$C70)/SAP!$C$10)*'C&amp;B'!$C$13/SAP!$C$143)+M$26),"Not Possible")</f>
        <v>Not Possible</v>
      </c>
      <c r="N70" s="131">
        <f>IF(IF(N$39&lt;=$C70,N$26,(((N$39-$C70)/SAP!$C$10)*'C&amp;B'!$C$13/SAP!$C$143)+N$26)&lt;=SAP!$C$151,IF(N$39&lt;=$C70,N$26,(((N$39-$C70)/SAP!$C$10)*'C&amp;B'!$C$13/SAP!$C$143)+N$26),"Not Possible")</f>
        <v>2.0120941406920885</v>
      </c>
      <c r="O70" s="131" t="str">
        <f>IF(IF(O$39&lt;=$C70,O$26,(((O$39-$C70)/SAP!$C$10)*'C&amp;B'!$C$13/SAP!$C$143)+O$26)&lt;=SAP!$C$151,IF(O$39&lt;=$C70,O$26,(((O$39-$C70)/SAP!$C$10)*'C&amp;B'!$C$13/SAP!$C$143)+O$26),"Not Possible")</f>
        <v>Not Possible</v>
      </c>
      <c r="P70" s="131">
        <f>IF(IF(P$39&lt;=$C70,P$26,(((P$39-$C70)/SAP!$C$10)*'C&amp;B'!$C$13/SAP!$C$143)+P$26)&lt;=SAP!$C$151,IF(P$39&lt;=$C70,P$26,(((P$39-$C70)/SAP!$C$10)*'C&amp;B'!$C$13/SAP!$C$143)+P$26),"Not Possible")</f>
        <v>1.8229038364059249</v>
      </c>
      <c r="Q70" s="131" t="str">
        <f>IF(IF(Q$39&lt;=$C70,Q$26,(((Q$39-$C70)/SAP!$C$10)*'C&amp;B'!$C$13/SAP!$C$143)+Q$26)&lt;=SAP!$C$151,IF(Q$39&lt;=$C70,Q$26,(((Q$39-$C70)/SAP!$C$10)*'C&amp;B'!$C$13/SAP!$C$143)+Q$26),"Not Possible")</f>
        <v>Not Possible</v>
      </c>
      <c r="R70" s="131">
        <f>IF(IF(R$39&lt;=$C70,R$26,(((R$39-$C70)/SAP!$C$10)*'C&amp;B'!$C$13/SAP!$C$143)+R$26)&lt;=SAP!$C$151,IF(R$39&lt;=$C70,R$26,(((R$39-$C70)/SAP!$C$10)*'C&amp;B'!$C$13/SAP!$C$143)+R$26),"Not Possible")</f>
        <v>1.6375125342138601</v>
      </c>
      <c r="S70" s="131">
        <f>IF(IF(S$39&lt;=$C70,S$26,(((S$39-$C70)/SAP!$C$10)*'C&amp;B'!$C$13/SAP!$C$143)+S$26)&lt;=SAP!$C$151,IF(S$39&lt;=$C70,S$26,(((S$39-$C70)/SAP!$C$10)*'C&amp;B'!$C$13/SAP!$C$143)+S$26),"Not Possible")</f>
        <v>1.4450651613911578</v>
      </c>
      <c r="T70" s="131">
        <f>IF(IF(T$39&lt;=$C70,T$26,(((T$39-$C70)/SAP!$C$10)*'C&amp;B'!$C$13/SAP!$C$143)+T$26)&lt;=SAP!$C$151,IF(T$39&lt;=$C70,T$26,(((T$39-$C70)/SAP!$C$10)*'C&amp;B'!$C$13/SAP!$C$143)+T$26),"Not Possible")</f>
        <v>1.5647937428696739</v>
      </c>
      <c r="V70" s="130" t="s">
        <v>613</v>
      </c>
      <c r="W70" s="82" t="e">
        <f>IF(D70=0,0,IF(D70&lt;4,'C&amp;B'!$E$316+(D70*'C&amp;B'!$E$317),D70*'C&amp;B'!$E$318))</f>
        <v>#VALUE!</v>
      </c>
      <c r="X70" s="82" t="e">
        <f>IF(E70=0,0,IF(E70&lt;4,'C&amp;B'!$E$316+(E70*'C&amp;B'!$E$317),E70*'C&amp;B'!$E$318))</f>
        <v>#VALUE!</v>
      </c>
      <c r="Y70" s="82">
        <f>IF(F70=0,0,IF(F70&lt;4,'C&amp;B'!$E$316+(F70*'C&amp;B'!$E$317),F70*'C&amp;B'!$E$318))</f>
        <v>2056.2002557118453</v>
      </c>
      <c r="Z70" s="82" t="e">
        <f>IF(G70=0,0,IF(G70&lt;4,'C&amp;B'!$E$316+(G70*'C&amp;B'!$E$317),G70*'C&amp;B'!$E$318))</f>
        <v>#VALUE!</v>
      </c>
      <c r="AA70" s="82">
        <f>IF(H70=0,0,IF(H70&lt;4,'C&amp;B'!$E$316+(H70*'C&amp;B'!$E$317),H70*'C&amp;B'!$E$318))</f>
        <v>1871.8660671459656</v>
      </c>
      <c r="AB70" s="82" t="e">
        <f>IF(I70=0,0,IF(I70&lt;4,'C&amp;B'!$E$316+(I70*'C&amp;B'!$E$317),I70*'C&amp;B'!$E$318))</f>
        <v>#VALUE!</v>
      </c>
      <c r="AC70" s="82">
        <f>IF(J70=0,0,IF(J70&lt;4,'C&amp;B'!$E$316+(J70*'C&amp;B'!$E$317),J70*'C&amp;B'!$E$318))</f>
        <v>2534.5127896842951</v>
      </c>
      <c r="AD70" s="82" t="e">
        <f>IF(K70=0,0,IF(K70&lt;4,'C&amp;B'!$E$316+(K70*'C&amp;B'!$E$317),K70*'C&amp;B'!$E$318))</f>
        <v>#VALUE!</v>
      </c>
      <c r="AE70" s="82">
        <f>IF(L70=0,0,IF(L70&lt;4,'C&amp;B'!$E$316+(L70*'C&amp;B'!$E$317),L70*'C&amp;B'!$E$318))</f>
        <v>2416.8956848509692</v>
      </c>
      <c r="AF70" s="82" t="e">
        <f>IF(M70=0,0,IF(M70&lt;4,'C&amp;B'!$E$316+(M70*'C&amp;B'!$E$317),M70*'C&amp;B'!$E$318))</f>
        <v>#VALUE!</v>
      </c>
      <c r="AG70" s="82">
        <f>IF(N70=0,0,IF(N70&lt;4,'C&amp;B'!$E$316+(N70*'C&amp;B'!$E$317),N70*'C&amp;B'!$E$318))</f>
        <v>2307.256484415253</v>
      </c>
      <c r="AH70" s="82" t="e">
        <f>IF(O70=0,0,IF(O70&lt;4,'C&amp;B'!$E$316+(O70*'C&amp;B'!$E$317),O70*'C&amp;B'!$E$318))</f>
        <v>#VALUE!</v>
      </c>
      <c r="AI70" s="82">
        <f>IF(P70=0,0,IF(P70&lt;4,'C&amp;B'!$E$316+(P70*'C&amp;B'!$E$317),P70*'C&amp;B'!$E$318))</f>
        <v>2193.7423018435547</v>
      </c>
      <c r="AJ70" s="82" t="e">
        <f>IF(Q70=0,0,IF(Q70&lt;4,'C&amp;B'!$E$316+(Q70*'C&amp;B'!$E$317),Q70*'C&amp;B'!$E$318))</f>
        <v>#VALUE!</v>
      </c>
      <c r="AK70" s="82">
        <f>IF(R70=0,0,IF(R70&lt;4,'C&amp;B'!$E$316+(R70*'C&amp;B'!$E$317),R70*'C&amp;B'!$E$318))</f>
        <v>2082.507520528316</v>
      </c>
      <c r="AL70" s="82">
        <f>IF(S70=0,0,IF(S70&lt;4,'C&amp;B'!$E$316+(S70*'C&amp;B'!$E$317),S70*'C&amp;B'!$E$318))</f>
        <v>1967.0390968346946</v>
      </c>
      <c r="AM70" s="82">
        <f>IF(T70=0,0,IF(T70&lt;4,'C&amp;B'!$E$316+(T70*'C&amp;B'!$E$317),T70*'C&amp;B'!$E$318))</f>
        <v>2038.8762457218045</v>
      </c>
      <c r="AO70" s="130" t="s">
        <v>613</v>
      </c>
      <c r="AP70" s="82" t="e">
        <f t="shared" si="129"/>
        <v>#VALUE!</v>
      </c>
      <c r="AQ70" s="82" t="e">
        <f t="shared" si="113"/>
        <v>#VALUE!</v>
      </c>
      <c r="AR70" s="82">
        <f t="shared" si="114"/>
        <v>72696.800255711845</v>
      </c>
      <c r="AS70" s="82" t="e">
        <f t="shared" si="115"/>
        <v>#VALUE!</v>
      </c>
      <c r="AT70" s="82">
        <f t="shared" si="116"/>
        <v>75885.666067145954</v>
      </c>
      <c r="AU70" s="82" t="e">
        <f t="shared" si="117"/>
        <v>#VALUE!</v>
      </c>
      <c r="AV70" s="82">
        <f t="shared" si="118"/>
        <v>74696.51278968429</v>
      </c>
      <c r="AW70" s="82" t="e">
        <f t="shared" si="119"/>
        <v>#VALUE!</v>
      </c>
      <c r="AX70" s="82">
        <f t="shared" si="120"/>
        <v>76269.795684850964</v>
      </c>
      <c r="AY70" s="82" t="e">
        <f t="shared" si="121"/>
        <v>#VALUE!</v>
      </c>
      <c r="AZ70" s="82">
        <f t="shared" si="122"/>
        <v>78201.05648441524</v>
      </c>
      <c r="BA70" s="82" t="e">
        <f t="shared" si="123"/>
        <v>#VALUE!</v>
      </c>
      <c r="BB70" s="82">
        <f t="shared" si="124"/>
        <v>78088.542301843539</v>
      </c>
      <c r="BC70" s="82" t="e">
        <f t="shared" si="125"/>
        <v>#VALUE!</v>
      </c>
      <c r="BD70" s="82">
        <f t="shared" si="126"/>
        <v>78917.107520528327</v>
      </c>
      <c r="BE70" s="82">
        <f t="shared" si="127"/>
        <v>75977.839096834679</v>
      </c>
      <c r="BF70" s="82">
        <f t="shared" si="128"/>
        <v>72679.476245721817</v>
      </c>
    </row>
    <row r="71" spans="2:60">
      <c r="B71" s="114" t="s">
        <v>614</v>
      </c>
      <c r="C71" s="127">
        <f>SAP!D172</f>
        <v>1.901900980306811</v>
      </c>
      <c r="D71" s="131" t="str">
        <f>IF(IF(D$39&lt;=$C71,D$26,(((D$39-$C71)/SAP!$C$10)*'C&amp;B'!$C$13/SAP!$C$143)+D$26)&lt;=SAP!$C$151,IF(D$39&lt;=$C71,D$26,(((D$39-$C71)/SAP!$C$10)*'C&amp;B'!$C$13/SAP!$C$143)+D$26),"Not Possible")</f>
        <v>Not Possible</v>
      </c>
      <c r="E71" s="131" t="str">
        <f>IF(IF(E$39&lt;=$C71,E$26,(((E$39-$C71)/SAP!$C$10)*'C&amp;B'!$C$13/SAP!$C$143)+E$26)&lt;=SAP!$C$151,IF(E$39&lt;=$C71,E$26,(((E$39-$C71)/SAP!$C$10)*'C&amp;B'!$C$13/SAP!$C$143)+E$26),"Not Possible")</f>
        <v>Not Possible</v>
      </c>
      <c r="F71" s="131">
        <f>IF(IF(F$39&lt;=$C71,F$26,(((F$39-$C71)/SAP!$C$10)*'C&amp;B'!$C$13/SAP!$C$143)+F$26)&lt;=SAP!$C$151,IF(F$39&lt;=$C71,F$26,(((F$39-$C71)/SAP!$C$10)*'C&amp;B'!$C$13/SAP!$C$143)+F$26),"Not Possible")</f>
        <v>1.9549333832008651</v>
      </c>
      <c r="G71" s="131" t="str">
        <f>IF(IF(G$39&lt;=$C71,G$26,(((G$39-$C71)/SAP!$C$10)*'C&amp;B'!$C$13/SAP!$C$143)+G$26)&lt;=SAP!$C$151,IF(G$39&lt;=$C71,G$26,(((G$39-$C71)/SAP!$C$10)*'C&amp;B'!$C$13/SAP!$C$143)+G$26),"Not Possible")</f>
        <v>Not Possible</v>
      </c>
      <c r="H71" s="131">
        <f>IF(IF(H$39&lt;=$C71,H$26,(((H$39-$C71)/SAP!$C$10)*'C&amp;B'!$C$13/SAP!$C$143)+H$26)&lt;=SAP!$C$151,IF(H$39&lt;=$C71,H$26,(((H$39-$C71)/SAP!$C$10)*'C&amp;B'!$C$13/SAP!$C$143)+H$26),"Not Possible")</f>
        <v>1.6477097355910657</v>
      </c>
      <c r="I71" s="131" t="str">
        <f>IF(IF(I$39&lt;=$C71,I$26,(((I$39-$C71)/SAP!$C$10)*'C&amp;B'!$C$13/SAP!$C$143)+I$26)&lt;=SAP!$C$151,IF(I$39&lt;=$C71,I$26,(((I$39-$C71)/SAP!$C$10)*'C&amp;B'!$C$13/SAP!$C$143)+I$26),"Not Possible")</f>
        <v>Not Possible</v>
      </c>
      <c r="J71" s="131">
        <f>IF(IF(J$39&lt;=$C71,J$26,(((J$39-$C71)/SAP!$C$10)*'C&amp;B'!$C$13/SAP!$C$143)+J$26)&lt;=SAP!$C$151,IF(J$39&lt;=$C71,J$26,(((J$39-$C71)/SAP!$C$10)*'C&amp;B'!$C$13/SAP!$C$143)+J$26),"Not Possible")</f>
        <v>2.7521209398216144</v>
      </c>
      <c r="K71" s="131" t="str">
        <f>IF(IF(K$39&lt;=$C71,K$26,(((K$39-$C71)/SAP!$C$10)*'C&amp;B'!$C$13/SAP!$C$143)+K$26)&lt;=SAP!$C$151,IF(K$39&lt;=$C71,K$26,(((K$39-$C71)/SAP!$C$10)*'C&amp;B'!$C$13/SAP!$C$143)+K$26),"Not Possible")</f>
        <v>Not Possible</v>
      </c>
      <c r="L71" s="131">
        <f>IF(IF(L$39&lt;=$C71,L$26,(((L$39-$C71)/SAP!$C$10)*'C&amp;B'!$C$13/SAP!$C$143)+L$26)&lt;=SAP!$C$151,IF(L$39&lt;=$C71,L$26,(((L$39-$C71)/SAP!$C$10)*'C&amp;B'!$C$13/SAP!$C$143)+L$26),"Not Possible")</f>
        <v>2.5560924317660709</v>
      </c>
      <c r="M71" s="131" t="str">
        <f>IF(IF(M$39&lt;=$C71,M$26,(((M$39-$C71)/SAP!$C$10)*'C&amp;B'!$C$13/SAP!$C$143)+M$26)&lt;=SAP!$C$151,IF(M$39&lt;=$C71,M$26,(((M$39-$C71)/SAP!$C$10)*'C&amp;B'!$C$13/SAP!$C$143)+M$26),"Not Possible")</f>
        <v>Not Possible</v>
      </c>
      <c r="N71" s="131">
        <f>IF(IF(N$39&lt;=$C71,N$26,(((N$39-$C71)/SAP!$C$10)*'C&amp;B'!$C$13/SAP!$C$143)+N$26)&lt;=SAP!$C$151,IF(N$39&lt;=$C71,N$26,(((N$39-$C71)/SAP!$C$10)*'C&amp;B'!$C$13/SAP!$C$143)+N$26),"Not Possible")</f>
        <v>2.3733604310398779</v>
      </c>
      <c r="O71" s="131" t="str">
        <f>IF(IF(O$39&lt;=$C71,O$26,(((O$39-$C71)/SAP!$C$10)*'C&amp;B'!$C$13/SAP!$C$143)+O$26)&lt;=SAP!$C$151,IF(O$39&lt;=$C71,O$26,(((O$39-$C71)/SAP!$C$10)*'C&amp;B'!$C$13/SAP!$C$143)+O$26),"Not Possible")</f>
        <v>Not Possible</v>
      </c>
      <c r="P71" s="131">
        <f>IF(IF(P$39&lt;=$C71,P$26,(((P$39-$C71)/SAP!$C$10)*'C&amp;B'!$C$13/SAP!$C$143)+P$26)&lt;=SAP!$C$151,IF(P$39&lt;=$C71,P$26,(((P$39-$C71)/SAP!$C$10)*'C&amp;B'!$C$13/SAP!$C$143)+P$26),"Not Possible")</f>
        <v>2.1841701267537141</v>
      </c>
      <c r="Q71" s="131" t="str">
        <f>IF(IF(Q$39&lt;=$C71,Q$26,(((Q$39-$C71)/SAP!$C$10)*'C&amp;B'!$C$13/SAP!$C$143)+Q$26)&lt;=SAP!$C$151,IF(Q$39&lt;=$C71,Q$26,(((Q$39-$C71)/SAP!$C$10)*'C&amp;B'!$C$13/SAP!$C$143)+Q$26),"Not Possible")</f>
        <v>Not Possible</v>
      </c>
      <c r="R71" s="131">
        <f>IF(IF(R$39&lt;=$C71,R$26,(((R$39-$C71)/SAP!$C$10)*'C&amp;B'!$C$13/SAP!$C$143)+R$26)&lt;=SAP!$C$151,IF(R$39&lt;=$C71,R$26,(((R$39-$C71)/SAP!$C$10)*'C&amp;B'!$C$13/SAP!$C$143)+R$26),"Not Possible")</f>
        <v>1.9987788245616498</v>
      </c>
      <c r="S71" s="131">
        <f>IF(IF(S$39&lt;=$C71,S$26,(((S$39-$C71)/SAP!$C$10)*'C&amp;B'!$C$13/SAP!$C$143)+S$26)&lt;=SAP!$C$151,IF(S$39&lt;=$C71,S$26,(((S$39-$C71)/SAP!$C$10)*'C&amp;B'!$C$13/SAP!$C$143)+S$26),"Not Possible")</f>
        <v>1.8063314517389473</v>
      </c>
      <c r="T71" s="131">
        <f>IF(IF(T$39&lt;=$C71,T$26,(((T$39-$C71)/SAP!$C$10)*'C&amp;B'!$C$13/SAP!$C$143)+T$26)&lt;=SAP!$C$151,IF(T$39&lt;=$C71,T$26,(((T$39-$C71)/SAP!$C$10)*'C&amp;B'!$C$13/SAP!$C$143)+T$26),"Not Possible")</f>
        <v>1.9260600332174631</v>
      </c>
      <c r="V71" s="130" t="s">
        <v>614</v>
      </c>
      <c r="W71" s="82" t="e">
        <f>IF(D71=0,0,IF(D71&lt;4,'C&amp;B'!$E$316+(D71*'C&amp;B'!$E$317),D71*'C&amp;B'!$E$318))</f>
        <v>#VALUE!</v>
      </c>
      <c r="X71" s="82" t="e">
        <f>IF(E71=0,0,IF(E71&lt;4,'C&amp;B'!$E$316+(E71*'C&amp;B'!$E$317),E71*'C&amp;B'!$E$318))</f>
        <v>#VALUE!</v>
      </c>
      <c r="Y71" s="82">
        <f>IF(F71=0,0,IF(F71&lt;4,'C&amp;B'!$E$316+(F71*'C&amp;B'!$E$317),F71*'C&amp;B'!$E$318))</f>
        <v>2272.960029920519</v>
      </c>
      <c r="Z71" s="82" t="e">
        <f>IF(G71=0,0,IF(G71&lt;4,'C&amp;B'!$E$316+(G71*'C&amp;B'!$E$317),G71*'C&amp;B'!$E$318))</f>
        <v>#VALUE!</v>
      </c>
      <c r="AA71" s="82">
        <f>IF(H71=0,0,IF(H71&lt;4,'C&amp;B'!$E$316+(H71*'C&amp;B'!$E$317),H71*'C&amp;B'!$E$318))</f>
        <v>2088.6258413546393</v>
      </c>
      <c r="AB71" s="82" t="e">
        <f>IF(I71=0,0,IF(I71&lt;4,'C&amp;B'!$E$316+(I71*'C&amp;B'!$E$317),I71*'C&amp;B'!$E$318))</f>
        <v>#VALUE!</v>
      </c>
      <c r="AC71" s="82">
        <f>IF(J71=0,0,IF(J71&lt;4,'C&amp;B'!$E$316+(J71*'C&amp;B'!$E$317),J71*'C&amp;B'!$E$318))</f>
        <v>2751.2725638929687</v>
      </c>
      <c r="AD71" s="82" t="e">
        <f>IF(K71=0,0,IF(K71&lt;4,'C&amp;B'!$E$316+(K71*'C&amp;B'!$E$317),K71*'C&amp;B'!$E$318))</f>
        <v>#VALUE!</v>
      </c>
      <c r="AE71" s="82">
        <f>IF(L71=0,0,IF(L71&lt;4,'C&amp;B'!$E$316+(L71*'C&amp;B'!$E$317),L71*'C&amp;B'!$E$318))</f>
        <v>2633.6554590596425</v>
      </c>
      <c r="AF71" s="82" t="e">
        <f>IF(M71=0,0,IF(M71&lt;4,'C&amp;B'!$E$316+(M71*'C&amp;B'!$E$317),M71*'C&amp;B'!$E$318))</f>
        <v>#VALUE!</v>
      </c>
      <c r="AG71" s="82">
        <f>IF(N71=0,0,IF(N71&lt;4,'C&amp;B'!$E$316+(N71*'C&amp;B'!$E$317),N71*'C&amp;B'!$E$318))</f>
        <v>2524.0162586239267</v>
      </c>
      <c r="AH71" s="82" t="e">
        <f>IF(O71=0,0,IF(O71&lt;4,'C&amp;B'!$E$316+(O71*'C&amp;B'!$E$317),O71*'C&amp;B'!$E$318))</f>
        <v>#VALUE!</v>
      </c>
      <c r="AI71" s="82">
        <f>IF(P71=0,0,IF(P71&lt;4,'C&amp;B'!$E$316+(P71*'C&amp;B'!$E$317),P71*'C&amp;B'!$E$318))</f>
        <v>2410.5020760522284</v>
      </c>
      <c r="AJ71" s="82" t="e">
        <f>IF(Q71=0,0,IF(Q71&lt;4,'C&amp;B'!$E$316+(Q71*'C&amp;B'!$E$317),Q71*'C&amp;B'!$E$318))</f>
        <v>#VALUE!</v>
      </c>
      <c r="AK71" s="82">
        <f>IF(R71=0,0,IF(R71&lt;4,'C&amp;B'!$E$316+(R71*'C&amp;B'!$E$317),R71*'C&amp;B'!$E$318))</f>
        <v>2299.2672947369902</v>
      </c>
      <c r="AL71" s="82">
        <f>IF(S71=0,0,IF(S71&lt;4,'C&amp;B'!$E$316+(S71*'C&amp;B'!$E$317),S71*'C&amp;B'!$E$318))</f>
        <v>2183.7988710433683</v>
      </c>
      <c r="AM71" s="82">
        <f>IF(T71=0,0,IF(T71&lt;4,'C&amp;B'!$E$316+(T71*'C&amp;B'!$E$317),T71*'C&amp;B'!$E$318))</f>
        <v>2255.6360199304781</v>
      </c>
      <c r="AO71" s="130" t="s">
        <v>614</v>
      </c>
      <c r="AP71" s="82" t="e">
        <f t="shared" si="129"/>
        <v>#VALUE!</v>
      </c>
      <c r="AQ71" s="82" t="e">
        <f t="shared" si="113"/>
        <v>#VALUE!</v>
      </c>
      <c r="AR71" s="82">
        <f t="shared" si="114"/>
        <v>72913.560029920525</v>
      </c>
      <c r="AS71" s="82" t="e">
        <f t="shared" si="115"/>
        <v>#VALUE!</v>
      </c>
      <c r="AT71" s="82">
        <f t="shared" si="116"/>
        <v>76102.425841354634</v>
      </c>
      <c r="AU71" s="82" t="e">
        <f t="shared" si="117"/>
        <v>#VALUE!</v>
      </c>
      <c r="AV71" s="82">
        <f t="shared" si="118"/>
        <v>74913.27256389297</v>
      </c>
      <c r="AW71" s="82" t="e">
        <f t="shared" si="119"/>
        <v>#VALUE!</v>
      </c>
      <c r="AX71" s="82">
        <f t="shared" si="120"/>
        <v>76486.555459059629</v>
      </c>
      <c r="AY71" s="82" t="e">
        <f t="shared" si="121"/>
        <v>#VALUE!</v>
      </c>
      <c r="AZ71" s="82">
        <f t="shared" si="122"/>
        <v>78417.81625862392</v>
      </c>
      <c r="BA71" s="82" t="e">
        <f t="shared" si="123"/>
        <v>#VALUE!</v>
      </c>
      <c r="BB71" s="82">
        <f t="shared" si="124"/>
        <v>78305.302076052219</v>
      </c>
      <c r="BC71" s="82" t="e">
        <f t="shared" si="125"/>
        <v>#VALUE!</v>
      </c>
      <c r="BD71" s="82">
        <f t="shared" si="126"/>
        <v>79133.867294736992</v>
      </c>
      <c r="BE71" s="82">
        <f t="shared" si="127"/>
        <v>76194.598871043359</v>
      </c>
      <c r="BF71" s="82">
        <f t="shared" si="128"/>
        <v>72896.236019930482</v>
      </c>
    </row>
    <row r="72" spans="2:60">
      <c r="B72" s="114" t="s">
        <v>615</v>
      </c>
      <c r="C72" s="127">
        <f>SAP!D173</f>
        <v>0</v>
      </c>
      <c r="D72" s="131" t="str">
        <f>IF(IF(D$39&lt;=$C72,D$26,(((D$39-$C72)/SAP!$C$10)*'C&amp;B'!$C$13/SAP!$C$143)+D$26)&lt;=SAP!$C$151,IF(D$39&lt;=$C72,D$26,(((D$39-$C72)/SAP!$C$10)*'C&amp;B'!$C$13/SAP!$C$143)+D$26),"Not Possible")</f>
        <v>Not Possible</v>
      </c>
      <c r="E72" s="131" t="str">
        <f>IF(IF(E$39&lt;=$C72,E$26,(((E$39-$C72)/SAP!$C$10)*'C&amp;B'!$C$13/SAP!$C$143)+E$26)&lt;=SAP!$C$151,IF(E$39&lt;=$C72,E$26,(((E$39-$C72)/SAP!$C$10)*'C&amp;B'!$C$13/SAP!$C$143)+E$26),"Not Possible")</f>
        <v>Not Possible</v>
      </c>
      <c r="F72" s="131">
        <f>IF(IF(F$39&lt;=$C72,F$26,(((F$39-$C72)/SAP!$C$10)*'C&amp;B'!$C$13/SAP!$C$143)+F$26)&lt;=SAP!$C$151,IF(F$39&lt;=$C72,F$26,(((F$39-$C72)/SAP!$C$10)*'C&amp;B'!$C$13/SAP!$C$143)+F$26),"Not Possible")</f>
        <v>3.7612648349398121</v>
      </c>
      <c r="G72" s="131" t="str">
        <f>IF(IF(G$39&lt;=$C72,G$26,(((G$39-$C72)/SAP!$C$10)*'C&amp;B'!$C$13/SAP!$C$143)+G$26)&lt;=SAP!$C$151,IF(G$39&lt;=$C72,G$26,(((G$39-$C72)/SAP!$C$10)*'C&amp;B'!$C$13/SAP!$C$143)+G$26),"Not Possible")</f>
        <v>Not Possible</v>
      </c>
      <c r="H72" s="131">
        <f>IF(IF(H$39&lt;=$C72,H$26,(((H$39-$C72)/SAP!$C$10)*'C&amp;B'!$C$13/SAP!$C$143)+H$26)&lt;=SAP!$C$151,IF(H$39&lt;=$C72,H$26,(((H$39-$C72)/SAP!$C$10)*'C&amp;B'!$C$13/SAP!$C$143)+H$26),"Not Possible")</f>
        <v>3.4540411873300125</v>
      </c>
      <c r="I72" s="131" t="str">
        <f>IF(IF(I$39&lt;=$C72,I$26,(((I$39-$C72)/SAP!$C$10)*'C&amp;B'!$C$13/SAP!$C$143)+I$26)&lt;=SAP!$C$151,IF(I$39&lt;=$C72,I$26,(((I$39-$C72)/SAP!$C$10)*'C&amp;B'!$C$13/SAP!$C$143)+I$26),"Not Possible")</f>
        <v>Not Possible</v>
      </c>
      <c r="J72" s="131">
        <f>IF(IF(J$39&lt;=$C72,J$26,(((J$39-$C72)/SAP!$C$10)*'C&amp;B'!$C$13/SAP!$C$143)+J$26)&lt;=SAP!$C$151,IF(J$39&lt;=$C72,J$26,(((J$39-$C72)/SAP!$C$10)*'C&amp;B'!$C$13/SAP!$C$143)+J$26),"Not Possible")</f>
        <v>4.5584523915605617</v>
      </c>
      <c r="K72" s="131" t="str">
        <f>IF(IF(K$39&lt;=$C72,K$26,(((K$39-$C72)/SAP!$C$10)*'C&amp;B'!$C$13/SAP!$C$143)+K$26)&lt;=SAP!$C$151,IF(K$39&lt;=$C72,K$26,(((K$39-$C72)/SAP!$C$10)*'C&amp;B'!$C$13/SAP!$C$143)+K$26),"Not Possible")</f>
        <v>Not Possible</v>
      </c>
      <c r="L72" s="131">
        <f>IF(IF(L$39&lt;=$C72,L$26,(((L$39-$C72)/SAP!$C$10)*'C&amp;B'!$C$13/SAP!$C$143)+L$26)&lt;=SAP!$C$151,IF(L$39&lt;=$C72,L$26,(((L$39-$C72)/SAP!$C$10)*'C&amp;B'!$C$13/SAP!$C$143)+L$26),"Not Possible")</f>
        <v>4.3624238835050191</v>
      </c>
      <c r="M72" s="131" t="str">
        <f>IF(IF(M$39&lt;=$C72,M$26,(((M$39-$C72)/SAP!$C$10)*'C&amp;B'!$C$13/SAP!$C$143)+M$26)&lt;=SAP!$C$151,IF(M$39&lt;=$C72,M$26,(((M$39-$C72)/SAP!$C$10)*'C&amp;B'!$C$13/SAP!$C$143)+M$26),"Not Possible")</f>
        <v>Not Possible</v>
      </c>
      <c r="N72" s="131">
        <f>IF(IF(N$39&lt;=$C72,N$26,(((N$39-$C72)/SAP!$C$10)*'C&amp;B'!$C$13/SAP!$C$143)+N$26)&lt;=SAP!$C$151,IF(N$39&lt;=$C72,N$26,(((N$39-$C72)/SAP!$C$10)*'C&amp;B'!$C$13/SAP!$C$143)+N$26),"Not Possible")</f>
        <v>4.1796918827788252</v>
      </c>
      <c r="O72" s="131" t="str">
        <f>IF(IF(O$39&lt;=$C72,O$26,(((O$39-$C72)/SAP!$C$10)*'C&amp;B'!$C$13/SAP!$C$143)+O$26)&lt;=SAP!$C$151,IF(O$39&lt;=$C72,O$26,(((O$39-$C72)/SAP!$C$10)*'C&amp;B'!$C$13/SAP!$C$143)+O$26),"Not Possible")</f>
        <v>Not Possible</v>
      </c>
      <c r="P72" s="131">
        <f>IF(IF(P$39&lt;=$C72,P$26,(((P$39-$C72)/SAP!$C$10)*'C&amp;B'!$C$13/SAP!$C$143)+P$26)&lt;=SAP!$C$151,IF(P$39&lt;=$C72,P$26,(((P$39-$C72)/SAP!$C$10)*'C&amp;B'!$C$13/SAP!$C$143)+P$26),"Not Possible")</f>
        <v>3.9905015784926614</v>
      </c>
      <c r="Q72" s="131" t="str">
        <f>IF(IF(Q$39&lt;=$C72,Q$26,(((Q$39-$C72)/SAP!$C$10)*'C&amp;B'!$C$13/SAP!$C$143)+Q$26)&lt;=SAP!$C$151,IF(Q$39&lt;=$C72,Q$26,(((Q$39-$C72)/SAP!$C$10)*'C&amp;B'!$C$13/SAP!$C$143)+Q$26),"Not Possible")</f>
        <v>Not Possible</v>
      </c>
      <c r="R72" s="131">
        <f>IF(IF(R$39&lt;=$C72,R$26,(((R$39-$C72)/SAP!$C$10)*'C&amp;B'!$C$13/SAP!$C$143)+R$26)&lt;=SAP!$C$151,IF(R$39&lt;=$C72,R$26,(((R$39-$C72)/SAP!$C$10)*'C&amp;B'!$C$13/SAP!$C$143)+R$26),"Not Possible")</f>
        <v>3.8051102763005966</v>
      </c>
      <c r="S72" s="131">
        <f>IF(IF(S$39&lt;=$C72,S$26,(((S$39-$C72)/SAP!$C$10)*'C&amp;B'!$C$13/SAP!$C$143)+S$26)&lt;=SAP!$C$151,IF(S$39&lt;=$C72,S$26,(((S$39-$C72)/SAP!$C$10)*'C&amp;B'!$C$13/SAP!$C$143)+S$26),"Not Possible")</f>
        <v>3.6126629034778945</v>
      </c>
      <c r="T72" s="131">
        <f>IF(IF(T$39&lt;=$C72,T$26,(((T$39-$C72)/SAP!$C$10)*'C&amp;B'!$C$13/SAP!$C$143)+T$26)&lt;=SAP!$C$151,IF(T$39&lt;=$C72,T$26,(((T$39-$C72)/SAP!$C$10)*'C&amp;B'!$C$13/SAP!$C$143)+T$26),"Not Possible")</f>
        <v>3.7323914849564108</v>
      </c>
      <c r="V72" s="130" t="s">
        <v>615</v>
      </c>
      <c r="W72" s="82" t="e">
        <f>IF(D72=0,0,IF(D72&lt;4,'C&amp;B'!$E$316+(D72*'C&amp;B'!$E$317),D72*'C&amp;B'!$E$318))</f>
        <v>#VALUE!</v>
      </c>
      <c r="X72" s="82" t="e">
        <f>IF(E72=0,0,IF(E72&lt;4,'C&amp;B'!$E$316+(E72*'C&amp;B'!$E$317),E72*'C&amp;B'!$E$318))</f>
        <v>#VALUE!</v>
      </c>
      <c r="Y72" s="82">
        <f>IF(F72=0,0,IF(F72&lt;4,'C&amp;B'!$E$316+(F72*'C&amp;B'!$E$317),F72*'C&amp;B'!$E$318))</f>
        <v>3356.7589009638873</v>
      </c>
      <c r="Z72" s="82" t="e">
        <f>IF(G72=0,0,IF(G72&lt;4,'C&amp;B'!$E$316+(G72*'C&amp;B'!$E$317),G72*'C&amp;B'!$E$318))</f>
        <v>#VALUE!</v>
      </c>
      <c r="AA72" s="82">
        <f>IF(H72=0,0,IF(H72&lt;4,'C&amp;B'!$E$316+(H72*'C&amp;B'!$E$317),H72*'C&amp;B'!$E$318))</f>
        <v>3172.4247123980076</v>
      </c>
      <c r="AB72" s="82" t="e">
        <f>IF(I72=0,0,IF(I72&lt;4,'C&amp;B'!$E$316+(I72*'C&amp;B'!$E$317),I72*'C&amp;B'!$E$318))</f>
        <v>#VALUE!</v>
      </c>
      <c r="AC72" s="82">
        <f>IF(J72=0,0,IF(J72&lt;4,'C&amp;B'!$E$316+(J72*'C&amp;B'!$E$317),J72*'C&amp;B'!$E$318))</f>
        <v>5014.2976307166182</v>
      </c>
      <c r="AD72" s="82" t="e">
        <f>IF(K72=0,0,IF(K72&lt;4,'C&amp;B'!$E$316+(K72*'C&amp;B'!$E$317),K72*'C&amp;B'!$E$318))</f>
        <v>#VALUE!</v>
      </c>
      <c r="AE72" s="82">
        <f>IF(L72=0,0,IF(L72&lt;4,'C&amp;B'!$E$316+(L72*'C&amp;B'!$E$317),L72*'C&amp;B'!$E$318))</f>
        <v>4798.6662718555208</v>
      </c>
      <c r="AF72" s="82" t="e">
        <f>IF(M72=0,0,IF(M72&lt;4,'C&amp;B'!$E$316+(M72*'C&amp;B'!$E$317),M72*'C&amp;B'!$E$318))</f>
        <v>#VALUE!</v>
      </c>
      <c r="AG72" s="82">
        <f>IF(N72=0,0,IF(N72&lt;4,'C&amp;B'!$E$316+(N72*'C&amp;B'!$E$317),N72*'C&amp;B'!$E$318))</f>
        <v>4597.6610710567074</v>
      </c>
      <c r="AH72" s="82" t="e">
        <f>IF(O72=0,0,IF(O72&lt;4,'C&amp;B'!$E$316+(O72*'C&amp;B'!$E$317),O72*'C&amp;B'!$E$318))</f>
        <v>#VALUE!</v>
      </c>
      <c r="AI72" s="82">
        <f>IF(P72=0,0,IF(P72&lt;4,'C&amp;B'!$E$316+(P72*'C&amp;B'!$E$317),P72*'C&amp;B'!$E$318))</f>
        <v>3494.3009470955967</v>
      </c>
      <c r="AJ72" s="82" t="e">
        <f>IF(Q72=0,0,IF(Q72&lt;4,'C&amp;B'!$E$316+(Q72*'C&amp;B'!$E$317),Q72*'C&amp;B'!$E$318))</f>
        <v>#VALUE!</v>
      </c>
      <c r="AK72" s="82">
        <f>IF(R72=0,0,IF(R72&lt;4,'C&amp;B'!$E$316+(R72*'C&amp;B'!$E$317),R72*'C&amp;B'!$E$318))</f>
        <v>3383.066165780358</v>
      </c>
      <c r="AL72" s="82">
        <f>IF(S72=0,0,IF(S72&lt;4,'C&amp;B'!$E$316+(S72*'C&amp;B'!$E$317),S72*'C&amp;B'!$E$318))</f>
        <v>3267.5977420867366</v>
      </c>
      <c r="AM72" s="82">
        <f>IF(T72=0,0,IF(T72&lt;4,'C&amp;B'!$E$316+(T72*'C&amp;B'!$E$317),T72*'C&amp;B'!$E$318))</f>
        <v>3339.4348909738464</v>
      </c>
      <c r="AO72" s="130" t="s">
        <v>615</v>
      </c>
      <c r="AP72" s="82" t="e">
        <f t="shared" si="129"/>
        <v>#VALUE!</v>
      </c>
      <c r="AQ72" s="82" t="e">
        <f t="shared" si="113"/>
        <v>#VALUE!</v>
      </c>
      <c r="AR72" s="82">
        <f t="shared" si="114"/>
        <v>73997.358900963896</v>
      </c>
      <c r="AS72" s="82" t="e">
        <f t="shared" si="115"/>
        <v>#VALUE!</v>
      </c>
      <c r="AT72" s="82">
        <f t="shared" si="116"/>
        <v>77186.224712397991</v>
      </c>
      <c r="AU72" s="82" t="e">
        <f t="shared" si="117"/>
        <v>#VALUE!</v>
      </c>
      <c r="AV72" s="82">
        <f t="shared" si="118"/>
        <v>77176.297630716625</v>
      </c>
      <c r="AW72" s="82" t="e">
        <f t="shared" si="119"/>
        <v>#VALUE!</v>
      </c>
      <c r="AX72" s="82">
        <f t="shared" si="120"/>
        <v>78651.56627185551</v>
      </c>
      <c r="AY72" s="82" t="e">
        <f t="shared" si="121"/>
        <v>#VALUE!</v>
      </c>
      <c r="AZ72" s="82">
        <f t="shared" si="122"/>
        <v>80491.461071056692</v>
      </c>
      <c r="BA72" s="82" t="e">
        <f t="shared" si="123"/>
        <v>#VALUE!</v>
      </c>
      <c r="BB72" s="82">
        <f t="shared" si="124"/>
        <v>79389.100947095591</v>
      </c>
      <c r="BC72" s="82" t="e">
        <f t="shared" si="125"/>
        <v>#VALUE!</v>
      </c>
      <c r="BD72" s="82">
        <f t="shared" si="126"/>
        <v>80217.666165780363</v>
      </c>
      <c r="BE72" s="82">
        <f t="shared" si="127"/>
        <v>77278.39774208673</v>
      </c>
      <c r="BF72" s="82">
        <f t="shared" si="128"/>
        <v>73980.034890973853</v>
      </c>
    </row>
    <row r="73" spans="2:60">
      <c r="B73" s="71"/>
      <c r="C73" s="106"/>
    </row>
    <row r="74" spans="2:60">
      <c r="B74" s="1" t="s">
        <v>714</v>
      </c>
      <c r="AO74" s="11" t="s">
        <v>716</v>
      </c>
    </row>
    <row r="75" spans="2:60" ht="72">
      <c r="B75" s="56" t="s">
        <v>294</v>
      </c>
      <c r="C75" s="57" t="s">
        <v>336</v>
      </c>
      <c r="D75" s="58" t="s">
        <v>343</v>
      </c>
      <c r="E75" s="58" t="s">
        <v>372</v>
      </c>
      <c r="F75" s="58" t="s">
        <v>359</v>
      </c>
      <c r="G75" s="58" t="s">
        <v>360</v>
      </c>
      <c r="H75" s="58" t="s">
        <v>361</v>
      </c>
      <c r="I75" s="58" t="s">
        <v>362</v>
      </c>
      <c r="J75" s="58" t="s">
        <v>363</v>
      </c>
      <c r="K75" s="58" t="s">
        <v>364</v>
      </c>
      <c r="L75" s="58" t="s">
        <v>351</v>
      </c>
      <c r="M75" s="58" t="s">
        <v>791</v>
      </c>
      <c r="AO75" s="144" t="s">
        <v>16</v>
      </c>
      <c r="AP75" s="117" t="s">
        <v>343</v>
      </c>
      <c r="AQ75" s="117" t="s">
        <v>435</v>
      </c>
      <c r="AR75" s="117" t="s">
        <v>436</v>
      </c>
      <c r="AS75" s="117" t="s">
        <v>437</v>
      </c>
      <c r="AT75" s="117" t="s">
        <v>438</v>
      </c>
      <c r="AU75" s="117" t="s">
        <v>439</v>
      </c>
      <c r="AV75" s="117" t="s">
        <v>440</v>
      </c>
      <c r="AW75" s="117" t="s">
        <v>441</v>
      </c>
      <c r="AX75" s="117" t="s">
        <v>442</v>
      </c>
      <c r="AY75" s="117" t="s">
        <v>443</v>
      </c>
      <c r="AZ75" s="117" t="s">
        <v>444</v>
      </c>
      <c r="BA75" s="117" t="s">
        <v>445</v>
      </c>
      <c r="BB75" s="117" t="s">
        <v>446</v>
      </c>
      <c r="BC75" s="117" t="s">
        <v>447</v>
      </c>
      <c r="BD75" s="117" t="s">
        <v>677</v>
      </c>
      <c r="BE75" s="117" t="s">
        <v>351</v>
      </c>
      <c r="BF75" s="117" t="s">
        <v>791</v>
      </c>
    </row>
    <row r="76" spans="2:60">
      <c r="B76" s="59" t="s">
        <v>310</v>
      </c>
      <c r="C76" s="60" t="s">
        <v>24</v>
      </c>
      <c r="D76" s="73">
        <f>D8*'C&amp;B'!$C$12</f>
        <v>7.657</v>
      </c>
      <c r="E76" s="73">
        <f>E8*'C&amp;B'!$C$12</f>
        <v>7.657</v>
      </c>
      <c r="F76" s="73">
        <f>G8*'C&amp;B'!$C$12</f>
        <v>6.4790000000000001</v>
      </c>
      <c r="G76" s="73">
        <f>I8*'C&amp;B'!$C$12</f>
        <v>8.8349999999999991</v>
      </c>
      <c r="H76" s="73">
        <f>K8*'C&amp;B'!$C$12</f>
        <v>6.4790000000000001</v>
      </c>
      <c r="I76" s="73">
        <f>M8*'C&amp;B'!$C$12</f>
        <v>6.4790000000000001</v>
      </c>
      <c r="J76" s="73">
        <f>O8*'C&amp;B'!$C$12</f>
        <v>6.4790000000000001</v>
      </c>
      <c r="K76" s="73">
        <f>Q8*'C&amp;B'!$C$12</f>
        <v>6.4790000000000001</v>
      </c>
      <c r="L76" s="73">
        <f>S8*'C&amp;B'!$C$12</f>
        <v>6.4790000000000001</v>
      </c>
      <c r="M76" s="73">
        <f>T8*'C&amp;B'!$C$12</f>
        <v>7.657</v>
      </c>
      <c r="AO76" s="133" t="s">
        <v>667</v>
      </c>
      <c r="AP76" s="132"/>
      <c r="AQ76" s="132"/>
      <c r="AR76" s="132"/>
      <c r="AS76" s="132"/>
      <c r="AT76" s="132"/>
      <c r="AU76" s="132"/>
      <c r="AV76" s="132"/>
      <c r="AW76" s="132"/>
      <c r="AX76" s="132"/>
      <c r="AY76" s="132"/>
      <c r="AZ76" s="132"/>
      <c r="BA76" s="132"/>
      <c r="BB76" s="132"/>
      <c r="BC76" s="132"/>
      <c r="BD76" s="132"/>
      <c r="BE76" s="132"/>
      <c r="BF76" s="132"/>
    </row>
    <row r="77" spans="2:60">
      <c r="B77" s="59" t="s">
        <v>311</v>
      </c>
      <c r="C77" s="60" t="s">
        <v>24</v>
      </c>
      <c r="D77" s="73">
        <f>SUMPRODUCT(D6:D7,'C&amp;B'!$C$8:$C$9)</f>
        <v>28.134</v>
      </c>
      <c r="E77" s="73">
        <f>SUMPRODUCT(E6:E7,'C&amp;B'!$C$8:$C$9)</f>
        <v>28.134</v>
      </c>
      <c r="F77" s="73">
        <f>SUMPRODUCT(G6:G7,'C&amp;B'!$C$8:$C$9)</f>
        <v>23.445</v>
      </c>
      <c r="G77" s="73">
        <f>SUMPRODUCT(I6:I7,'C&amp;B'!$C$8:$C$9)</f>
        <v>28.134</v>
      </c>
      <c r="H77" s="73">
        <f>SUMPRODUCT(K6:K7,'C&amp;B'!$C$8:$C$9)</f>
        <v>26.571000000000005</v>
      </c>
      <c r="I77" s="73">
        <f>SUMPRODUCT(M6:M7,'C&amp;B'!$C$8:$C$9)</f>
        <v>23.445</v>
      </c>
      <c r="J77" s="73">
        <f>SUMPRODUCT(O6:O7,'C&amp;B'!$C$8:$C$9)</f>
        <v>23.445</v>
      </c>
      <c r="K77" s="73">
        <f>SUMPRODUCT(Q6:Q7,'C&amp;B'!$C$8:$C$9)</f>
        <v>20.319000000000003</v>
      </c>
      <c r="L77" s="73">
        <f>SUMPRODUCT(S6:S7,'C&amp;B'!$C$8:$C$9)</f>
        <v>23.445</v>
      </c>
      <c r="M77" s="73">
        <f>SUMPRODUCT(T6:T7,'C&amp;B'!$C$8:$C$9)</f>
        <v>28.134</v>
      </c>
      <c r="AO77" s="130" t="s">
        <v>609</v>
      </c>
      <c r="AP77" s="82">
        <f>AP58-$AP$58</f>
        <v>0</v>
      </c>
      <c r="AQ77" s="82">
        <f t="shared" ref="AQ77:BF77" si="130">AQ58-$AP$58</f>
        <v>502.96410041119088</v>
      </c>
      <c r="AR77" s="82">
        <f t="shared" si="130"/>
        <v>-4001.5692307692225</v>
      </c>
      <c r="AS77" s="82">
        <f t="shared" si="130"/>
        <v>1383.4035294286441</v>
      </c>
      <c r="AT77" s="82">
        <f t="shared" si="130"/>
        <v>-628.36923076923995</v>
      </c>
      <c r="AU77" s="82">
        <f t="shared" si="130"/>
        <v>181.66576455403992</v>
      </c>
      <c r="AV77" s="82">
        <f t="shared" si="130"/>
        <v>-2480.1692307692283</v>
      </c>
      <c r="AW77" s="82">
        <f t="shared" si="130"/>
        <v>1182.6330267049198</v>
      </c>
      <c r="AX77" s="82">
        <f t="shared" si="130"/>
        <v>-789.26923076923413</v>
      </c>
      <c r="AY77" s="82">
        <f t="shared" si="130"/>
        <v>2580.3980520819896</v>
      </c>
      <c r="AZ77" s="82">
        <f t="shared" si="130"/>
        <v>1251.6307692307601</v>
      </c>
      <c r="BA77" s="82">
        <f t="shared" si="130"/>
        <v>1915.5327353206376</v>
      </c>
      <c r="BB77" s="82">
        <f t="shared" si="130"/>
        <v>1252.6307692307601</v>
      </c>
      <c r="BC77" s="82">
        <f t="shared" si="130"/>
        <v>1484.4307692307775</v>
      </c>
      <c r="BD77" s="82">
        <f t="shared" si="130"/>
        <v>2192.4307692307775</v>
      </c>
      <c r="BE77" s="82">
        <f t="shared" si="130"/>
        <v>-631.36923076923995</v>
      </c>
      <c r="BF77" s="82">
        <f t="shared" si="130"/>
        <v>-4001.5692307692225</v>
      </c>
    </row>
    <row r="78" spans="2:60">
      <c r="B78" s="59" t="s">
        <v>312</v>
      </c>
      <c r="C78" s="60" t="s">
        <v>24</v>
      </c>
      <c r="D78" s="73">
        <f>SUMPRODUCT(D9:D10,'C&amp;B'!$C$10:$C$11)</f>
        <v>6.4790000000000001</v>
      </c>
      <c r="E78" s="73">
        <f>SUMPRODUCT(E9:E10,'C&amp;B'!$C$10:$C$11)</f>
        <v>7.6570000000000009</v>
      </c>
      <c r="F78" s="73">
        <f>SUMPRODUCT(G9:G10,'C&amp;B'!$C$10:$C$11)</f>
        <v>6.5510000000000002</v>
      </c>
      <c r="G78" s="73">
        <f>SUMPRODUCT(I9:I10,'C&amp;B'!$C$10:$C$11)</f>
        <v>6.4950000000000001</v>
      </c>
      <c r="H78" s="73">
        <f>SUMPRODUCT(K9:K10,'C&amp;B'!$C$10:$C$11)</f>
        <v>6.4950000000000001</v>
      </c>
      <c r="I78" s="73">
        <f>SUMPRODUCT(M9:M10,'C&amp;B'!$C$10:$C$11)</f>
        <v>6.4790000000000001</v>
      </c>
      <c r="J78" s="73">
        <f>SUMPRODUCT(O9:O10,'C&amp;B'!$C$10:$C$11)</f>
        <v>6.4790000000000001</v>
      </c>
      <c r="K78" s="73">
        <f>SUMPRODUCT(Q9:Q10,'C&amp;B'!$C$10:$C$11)</f>
        <v>6.4790000000000001</v>
      </c>
      <c r="L78" s="73">
        <f>SUMPRODUCT(S9:S10,'C&amp;B'!$C$10:$C$11)</f>
        <v>6.4790000000000001</v>
      </c>
      <c r="M78" s="73">
        <f>SUMPRODUCT(T9:T10,'C&amp;B'!$C$10:$C$11)</f>
        <v>7.6570000000000009</v>
      </c>
      <c r="AO78" s="130" t="s">
        <v>610</v>
      </c>
      <c r="AP78" s="82">
        <f t="shared" ref="AP78:BF78" si="131">AP59-$AP$58</f>
        <v>1841.4501523527579</v>
      </c>
      <c r="AQ78" s="82">
        <f t="shared" si="131"/>
        <v>1632.1065604562464</v>
      </c>
      <c r="AR78" s="82">
        <f t="shared" si="131"/>
        <v>-4001.5692307692225</v>
      </c>
      <c r="AS78" s="82">
        <f t="shared" si="131"/>
        <v>1999.2994167259458</v>
      </c>
      <c r="AT78" s="82">
        <f t="shared" si="131"/>
        <v>-628.36923076923995</v>
      </c>
      <c r="AU78" s="82">
        <f t="shared" si="131"/>
        <v>2102.337387368505</v>
      </c>
      <c r="AV78" s="82">
        <f t="shared" si="131"/>
        <v>-2480.1692307692283</v>
      </c>
      <c r="AW78" s="82">
        <f t="shared" si="131"/>
        <v>1798.5289140022214</v>
      </c>
      <c r="AX78" s="82">
        <f t="shared" si="131"/>
        <v>-789.26923076923413</v>
      </c>
      <c r="AY78" s="82">
        <f t="shared" si="131"/>
        <v>3196.2939393793058</v>
      </c>
      <c r="AZ78" s="82">
        <f t="shared" si="131"/>
        <v>1251.6307692307601</v>
      </c>
      <c r="BA78" s="82">
        <f t="shared" si="131"/>
        <v>2531.4286226179538</v>
      </c>
      <c r="BB78" s="82">
        <f t="shared" si="131"/>
        <v>1252.6307692307601</v>
      </c>
      <c r="BC78" s="82">
        <f t="shared" si="131"/>
        <v>2818.734095349806</v>
      </c>
      <c r="BD78" s="82">
        <f t="shared" si="131"/>
        <v>2192.4307692307775</v>
      </c>
      <c r="BE78" s="82">
        <f t="shared" si="131"/>
        <v>-631.36923076923995</v>
      </c>
      <c r="BF78" s="82">
        <f t="shared" si="131"/>
        <v>-4001.5692307692225</v>
      </c>
    </row>
    <row r="79" spans="2:60">
      <c r="B79" s="59" t="s">
        <v>224</v>
      </c>
      <c r="C79" s="60" t="s">
        <v>24</v>
      </c>
      <c r="D79" s="73">
        <f>D12*'C&amp;B'!$C$14</f>
        <v>31.439999999999998</v>
      </c>
      <c r="E79" s="73">
        <f>E12*'C&amp;B'!$C$14</f>
        <v>36.68</v>
      </c>
      <c r="F79" s="73">
        <f>G12*'C&amp;B'!$C$14</f>
        <v>20.96</v>
      </c>
      <c r="G79" s="73">
        <f>I12*'C&amp;B'!$C$14</f>
        <v>36.68</v>
      </c>
      <c r="H79" s="73">
        <f>K12*'C&amp;B'!$C$14</f>
        <v>31.439999999999998</v>
      </c>
      <c r="I79" s="73">
        <f>M12*'C&amp;B'!$C$14</f>
        <v>20.96</v>
      </c>
      <c r="J79" s="73">
        <f>O12*'C&amp;B'!$C$14</f>
        <v>20.96</v>
      </c>
      <c r="K79" s="73">
        <f>Q12*'C&amp;B'!$C$14</f>
        <v>20.96</v>
      </c>
      <c r="L79" s="73">
        <f>S12*'C&amp;B'!$C$14</f>
        <v>20.96</v>
      </c>
      <c r="M79" s="73">
        <f>T12*'C&amp;B'!$C$14</f>
        <v>36.68</v>
      </c>
      <c r="AO79" s="130" t="s">
        <v>611</v>
      </c>
      <c r="AP79" s="82">
        <f t="shared" ref="AP79:BF79" si="132">AP60-$AP$58</f>
        <v>2970.5926123978279</v>
      </c>
      <c r="AQ79" s="82">
        <f t="shared" si="132"/>
        <v>2761.2490205013164</v>
      </c>
      <c r="AR79" s="82">
        <f t="shared" si="132"/>
        <v>-4001.5692307692225</v>
      </c>
      <c r="AS79" s="82">
        <f t="shared" si="132"/>
        <v>3891.4990830170136</v>
      </c>
      <c r="AT79" s="82">
        <f t="shared" si="132"/>
        <v>-628.36923076923995</v>
      </c>
      <c r="AU79" s="82">
        <f t="shared" si="132"/>
        <v>3231.479847413575</v>
      </c>
      <c r="AV79" s="82">
        <f t="shared" si="132"/>
        <v>-2480.1692307692283</v>
      </c>
      <c r="AW79" s="82">
        <f t="shared" si="132"/>
        <v>3657.5031613568426</v>
      </c>
      <c r="AX79" s="82">
        <f t="shared" si="132"/>
        <v>-789.26923076923413</v>
      </c>
      <c r="AY79" s="82">
        <f t="shared" si="132"/>
        <v>3812.1898266766075</v>
      </c>
      <c r="AZ79" s="82">
        <f t="shared" si="132"/>
        <v>1251.6307692307601</v>
      </c>
      <c r="BA79" s="82">
        <f t="shared" si="132"/>
        <v>3147.3245099152555</v>
      </c>
      <c r="BB79" s="82">
        <f t="shared" si="132"/>
        <v>1252.6307692307601</v>
      </c>
      <c r="BC79" s="82">
        <f t="shared" si="132"/>
        <v>3434.6299826471222</v>
      </c>
      <c r="BD79" s="82">
        <f t="shared" si="132"/>
        <v>2192.4307692307775</v>
      </c>
      <c r="BE79" s="82">
        <f t="shared" si="132"/>
        <v>-631.36923076923995</v>
      </c>
      <c r="BF79" s="82">
        <f t="shared" si="132"/>
        <v>-4001.5692307692225</v>
      </c>
    </row>
    <row r="80" spans="2:60">
      <c r="B80" s="59" t="s">
        <v>223</v>
      </c>
      <c r="C80" s="60" t="s">
        <v>24</v>
      </c>
      <c r="D80" s="73">
        <f>D11*'C&amp;B'!$C$15</f>
        <v>2.1</v>
      </c>
      <c r="E80" s="73">
        <f>E11*'C&amp;B'!$C$15</f>
        <v>2.1</v>
      </c>
      <c r="F80" s="73">
        <f>G11*'C&amp;B'!$C$15</f>
        <v>2.1</v>
      </c>
      <c r="G80" s="73">
        <f>I11*'C&amp;B'!$C$15</f>
        <v>2.52</v>
      </c>
      <c r="H80" s="73">
        <f>K11*'C&amp;B'!$C$15</f>
        <v>2.1</v>
      </c>
      <c r="I80" s="73">
        <f>M11*'C&amp;B'!$C$15</f>
        <v>2.1</v>
      </c>
      <c r="J80" s="73">
        <f>O11*'C&amp;B'!$C$15</f>
        <v>2.1</v>
      </c>
      <c r="K80" s="73">
        <f>Q11*'C&amp;B'!$C$15</f>
        <v>2.1</v>
      </c>
      <c r="L80" s="73">
        <f>S11*'C&amp;B'!$C$15</f>
        <v>2.1</v>
      </c>
      <c r="M80" s="73">
        <f>T11*'C&amp;B'!$C$15</f>
        <v>2.1</v>
      </c>
      <c r="AO80" s="130" t="s">
        <v>612</v>
      </c>
      <c r="AP80" s="82">
        <f t="shared" ref="AP80:BF80" si="133">AP61-$AP$58</f>
        <v>4099.7350724428834</v>
      </c>
      <c r="AQ80" s="82" t="e">
        <f t="shared" si="133"/>
        <v>#VALUE!</v>
      </c>
      <c r="AR80" s="82">
        <f t="shared" si="133"/>
        <v>-4001.5692307692225</v>
      </c>
      <c r="AS80" s="82">
        <f t="shared" si="133"/>
        <v>5020.6415430620837</v>
      </c>
      <c r="AT80" s="82">
        <f t="shared" si="133"/>
        <v>-628.36923076923995</v>
      </c>
      <c r="AU80" s="82">
        <f t="shared" si="133"/>
        <v>4360.6223074586305</v>
      </c>
      <c r="AV80" s="82">
        <f t="shared" si="133"/>
        <v>-2480.1692307692283</v>
      </c>
      <c r="AW80" s="82">
        <f t="shared" si="133"/>
        <v>4786.6456214019126</v>
      </c>
      <c r="AX80" s="82">
        <f t="shared" si="133"/>
        <v>-789.26923076923413</v>
      </c>
      <c r="AY80" s="82">
        <f t="shared" si="133"/>
        <v>5648.4648345932219</v>
      </c>
      <c r="AZ80" s="82">
        <f t="shared" si="133"/>
        <v>1251.6307692307601</v>
      </c>
      <c r="BA80" s="82">
        <f t="shared" si="133"/>
        <v>3763.2203972125717</v>
      </c>
      <c r="BB80" s="82">
        <f t="shared" si="133"/>
        <v>1252.6307692307601</v>
      </c>
      <c r="BC80" s="82">
        <f t="shared" si="133"/>
        <v>4050.5258699444239</v>
      </c>
      <c r="BD80" s="82">
        <f t="shared" si="133"/>
        <v>2192.4307692307775</v>
      </c>
      <c r="BE80" s="82">
        <f t="shared" si="133"/>
        <v>-631.36923076923995</v>
      </c>
      <c r="BF80" s="82">
        <f t="shared" si="133"/>
        <v>-4001.5692307692225</v>
      </c>
    </row>
    <row r="81" spans="2:58">
      <c r="B81" s="59" t="s">
        <v>313</v>
      </c>
      <c r="C81" s="60" t="s">
        <v>24</v>
      </c>
      <c r="D81" s="73">
        <f>D15*'C&amp;B'!$C$20</f>
        <v>15.120000000000003</v>
      </c>
      <c r="E81" s="73">
        <f>E15*'C&amp;B'!$C$20</f>
        <v>15.120000000000003</v>
      </c>
      <c r="F81" s="73">
        <f>G15*'C&amp;B'!$C$20</f>
        <v>6.0480000000000009</v>
      </c>
      <c r="G81" s="73">
        <f>I15*'C&amp;B'!$C$20</f>
        <v>15.120000000000003</v>
      </c>
      <c r="H81" s="73">
        <f>K15*'C&amp;B'!$C$20</f>
        <v>15.120000000000003</v>
      </c>
      <c r="I81" s="73">
        <f>M15*'C&amp;B'!$C$20</f>
        <v>15.120000000000003</v>
      </c>
      <c r="J81" s="73">
        <f>O15*'C&amp;B'!$C$20</f>
        <v>12.096000000000002</v>
      </c>
      <c r="K81" s="73">
        <f>Q15*'C&amp;B'!$C$20</f>
        <v>12.096000000000002</v>
      </c>
      <c r="L81" s="73">
        <f>S15*'C&amp;B'!$C$20</f>
        <v>15.120000000000003</v>
      </c>
      <c r="M81" s="73">
        <f>T15*'C&amp;B'!$C$20</f>
        <v>15.120000000000003</v>
      </c>
      <c r="AO81" s="130" t="s">
        <v>613</v>
      </c>
      <c r="AP81" s="82" t="e">
        <f t="shared" ref="AP81:BF81" si="134">AP62-$AP$58</f>
        <v>#VALUE!</v>
      </c>
      <c r="AQ81" s="82" t="e">
        <f t="shared" si="134"/>
        <v>#VALUE!</v>
      </c>
      <c r="AR81" s="82">
        <f t="shared" si="134"/>
        <v>-4001.5692307692225</v>
      </c>
      <c r="AS81" s="82">
        <f t="shared" si="134"/>
        <v>6149.7840031071537</v>
      </c>
      <c r="AT81" s="82">
        <f t="shared" si="134"/>
        <v>-628.36923076923995</v>
      </c>
      <c r="AU81" s="82" t="e">
        <f t="shared" si="134"/>
        <v>#VALUE!</v>
      </c>
      <c r="AV81" s="82">
        <f t="shared" si="134"/>
        <v>-2480.1692307692283</v>
      </c>
      <c r="AW81" s="82">
        <f t="shared" si="134"/>
        <v>5915.7880814469827</v>
      </c>
      <c r="AX81" s="82">
        <f t="shared" si="134"/>
        <v>-789.26923076923413</v>
      </c>
      <c r="AY81" s="82">
        <f t="shared" si="134"/>
        <v>6777.6072946382919</v>
      </c>
      <c r="AZ81" s="82">
        <f t="shared" si="134"/>
        <v>1251.6307692307601</v>
      </c>
      <c r="BA81" s="82">
        <f t="shared" si="134"/>
        <v>5557.8542139091442</v>
      </c>
      <c r="BB81" s="82">
        <f t="shared" si="134"/>
        <v>1252.6307692307601</v>
      </c>
      <c r="BC81" s="82">
        <f t="shared" si="134"/>
        <v>4666.4217572417401</v>
      </c>
      <c r="BD81" s="82">
        <f t="shared" si="134"/>
        <v>2192.4307692307775</v>
      </c>
      <c r="BE81" s="82">
        <f t="shared" si="134"/>
        <v>-631.36923076923995</v>
      </c>
      <c r="BF81" s="82">
        <f t="shared" si="134"/>
        <v>-4001.5692307692225</v>
      </c>
    </row>
    <row r="82" spans="2:58">
      <c r="B82" s="59" t="s">
        <v>314</v>
      </c>
      <c r="C82" s="60" t="s">
        <v>24</v>
      </c>
      <c r="D82" s="73">
        <f>1/3*0.5*'C&amp;B'!$C$19*(1-Detached!D13)</f>
        <v>47.11999999999999</v>
      </c>
      <c r="E82" s="73">
        <f>1/3*0.5*'C&amp;B'!$C$19*(1-Detached!E13)</f>
        <v>47.11999999999999</v>
      </c>
      <c r="F82" s="73">
        <f>1/3*0.5*'C&amp;B'!$C$19*(1-Detached!G13)</f>
        <v>47.11999999999999</v>
      </c>
      <c r="G82" s="73">
        <f>1/3*0.5*'C&amp;B'!$C$19*(1-Detached!I13)</f>
        <v>11.779999999999998</v>
      </c>
      <c r="H82" s="73">
        <f>1/3*0.5*'C&amp;B'!$C$19*(1-Detached!K13)</f>
        <v>11.779999999999998</v>
      </c>
      <c r="I82" s="73">
        <f>1/3*0.5*'C&amp;B'!$C$19*(1-Detached!M13)</f>
        <v>11.779999999999998</v>
      </c>
      <c r="J82" s="73">
        <f>1/3*0.5*'C&amp;B'!$C$19*(1-Detached!O13)</f>
        <v>11.779999999999998</v>
      </c>
      <c r="K82" s="73">
        <f>1/3*0.5*'C&amp;B'!$C$19*(1-Detached!Q13)</f>
        <v>11.779999999999998</v>
      </c>
      <c r="L82" s="73">
        <f>1/3*0.5*'C&amp;B'!$C$19*(1-Detached!S13)</f>
        <v>47.11999999999999</v>
      </c>
      <c r="M82" s="73">
        <f>1/3*0.5*'C&amp;B'!$C$19*(1-Detached!T13)</f>
        <v>47.11999999999999</v>
      </c>
      <c r="AO82" s="130" t="s">
        <v>614</v>
      </c>
      <c r="AP82" s="82" t="e">
        <f t="shared" ref="AP82:BF82" si="135">AP63-$AP$58</f>
        <v>#VALUE!</v>
      </c>
      <c r="AQ82" s="82" t="e">
        <f t="shared" si="135"/>
        <v>#VALUE!</v>
      </c>
      <c r="AR82" s="82">
        <f t="shared" si="135"/>
        <v>-4001.5692307692225</v>
      </c>
      <c r="AS82" s="82" t="e">
        <f t="shared" si="135"/>
        <v>#VALUE!</v>
      </c>
      <c r="AT82" s="82">
        <f t="shared" si="135"/>
        <v>-628.36923076923995</v>
      </c>
      <c r="AU82" s="82" t="e">
        <f t="shared" si="135"/>
        <v>#VALUE!</v>
      </c>
      <c r="AV82" s="82">
        <f t="shared" si="135"/>
        <v>-2480.1692307692283</v>
      </c>
      <c r="AW82" s="82" t="e">
        <f t="shared" si="135"/>
        <v>#VALUE!</v>
      </c>
      <c r="AX82" s="82">
        <f t="shared" si="135"/>
        <v>-789.26923076923413</v>
      </c>
      <c r="AY82" s="82">
        <f t="shared" si="135"/>
        <v>7906.749754683362</v>
      </c>
      <c r="AZ82" s="82">
        <f t="shared" si="135"/>
        <v>1251.6307692307601</v>
      </c>
      <c r="BA82" s="82">
        <f t="shared" si="135"/>
        <v>6686.9966739541997</v>
      </c>
      <c r="BB82" s="82">
        <f t="shared" si="135"/>
        <v>1252.6307692307601</v>
      </c>
      <c r="BC82" s="82">
        <f t="shared" si="135"/>
        <v>6430.5567072959238</v>
      </c>
      <c r="BD82" s="82">
        <f t="shared" si="135"/>
        <v>2192.4307692307775</v>
      </c>
      <c r="BE82" s="82">
        <f t="shared" si="135"/>
        <v>-631.36923076923995</v>
      </c>
      <c r="BF82" s="82">
        <f t="shared" si="135"/>
        <v>-4001.5692307692225</v>
      </c>
    </row>
    <row r="83" spans="2:58">
      <c r="B83" s="59" t="s">
        <v>315</v>
      </c>
      <c r="C83" s="60" t="s">
        <v>24</v>
      </c>
      <c r="D83" s="73">
        <f>1/3*(D14/20)*'C&amp;B'!$C$19</f>
        <v>23.559999999999995</v>
      </c>
      <c r="E83" s="73">
        <f>1/3*(E14/20)*'C&amp;B'!$C$19</f>
        <v>23.559999999999995</v>
      </c>
      <c r="F83" s="73">
        <f>1/3*(G14/20)*'C&amp;B'!$C$19</f>
        <v>14.135999999999997</v>
      </c>
      <c r="G83" s="73">
        <f>1/3*(I14/20)*'C&amp;B'!$C$19</f>
        <v>14.135999999999997</v>
      </c>
      <c r="H83" s="73">
        <f>1/3*(K14/20)*'C&amp;B'!$C$19</f>
        <v>14.135999999999997</v>
      </c>
      <c r="I83" s="73">
        <f>1/3*(M14/20)*'C&amp;B'!$C$19</f>
        <v>14.135999999999997</v>
      </c>
      <c r="J83" s="73">
        <f>1/3*(O14/20)*'C&amp;B'!$C$19</f>
        <v>9.4239999999999995</v>
      </c>
      <c r="K83" s="73">
        <f>1/3*(Q14/20)*'C&amp;B'!$C$19</f>
        <v>4.7119999999999997</v>
      </c>
      <c r="L83" s="73">
        <f>1/3*(S14/20)*'C&amp;B'!$C$19</f>
        <v>23.559999999999995</v>
      </c>
      <c r="M83" s="73">
        <f>1/3*(T14/20)*'C&amp;B'!$C$19</f>
        <v>23.559999999999995</v>
      </c>
      <c r="AO83" s="130" t="s">
        <v>615</v>
      </c>
      <c r="AP83" s="82" t="e">
        <f t="shared" ref="AP83:BF83" si="136">AP64-$AP$58</f>
        <v>#VALUE!</v>
      </c>
      <c r="AQ83" s="82" t="e">
        <f t="shared" si="136"/>
        <v>#VALUE!</v>
      </c>
      <c r="AR83" s="82">
        <f t="shared" si="136"/>
        <v>-644.810329805332</v>
      </c>
      <c r="AS83" s="82" t="e">
        <f t="shared" si="136"/>
        <v>#VALUE!</v>
      </c>
      <c r="AT83" s="82">
        <f t="shared" si="136"/>
        <v>2544.0554816287622</v>
      </c>
      <c r="AU83" s="82" t="e">
        <f t="shared" si="136"/>
        <v>#VALUE!</v>
      </c>
      <c r="AV83" s="82">
        <f t="shared" si="136"/>
        <v>2534.1283999473962</v>
      </c>
      <c r="AW83" s="82" t="e">
        <f t="shared" si="136"/>
        <v>#VALUE!</v>
      </c>
      <c r="AX83" s="82">
        <f t="shared" si="136"/>
        <v>4009.3970410862821</v>
      </c>
      <c r="AY83" s="82" t="e">
        <f t="shared" si="136"/>
        <v>#VALUE!</v>
      </c>
      <c r="AZ83" s="82">
        <f t="shared" si="136"/>
        <v>5849.2918402874639</v>
      </c>
      <c r="BA83" s="82" t="e">
        <f t="shared" si="136"/>
        <v>#VALUE!</v>
      </c>
      <c r="BB83" s="82">
        <f t="shared" si="136"/>
        <v>4746.9317163263622</v>
      </c>
      <c r="BC83" s="82" t="e">
        <f t="shared" si="136"/>
        <v>#VALUE!</v>
      </c>
      <c r="BD83" s="82">
        <f t="shared" si="136"/>
        <v>5575.4969350111351</v>
      </c>
      <c r="BE83" s="82">
        <f t="shared" si="136"/>
        <v>2636.2285113175021</v>
      </c>
      <c r="BF83" s="82">
        <f t="shared" si="136"/>
        <v>-662.13433979537513</v>
      </c>
    </row>
    <row r="84" spans="2:58">
      <c r="B84" s="59" t="s">
        <v>316</v>
      </c>
      <c r="C84" s="60" t="s">
        <v>24</v>
      </c>
      <c r="D84" s="73">
        <f>SUM(D76:D81)</f>
        <v>90.929999999999993</v>
      </c>
      <c r="E84" s="73">
        <f t="shared" ref="E84:M84" si="137">SUM(E76:E81)</f>
        <v>97.347999999999999</v>
      </c>
      <c r="F84" s="73">
        <f t="shared" si="137"/>
        <v>65.582999999999998</v>
      </c>
      <c r="G84" s="73">
        <f t="shared" si="137"/>
        <v>97.784000000000006</v>
      </c>
      <c r="H84" s="73">
        <f t="shared" si="137"/>
        <v>88.204999999999998</v>
      </c>
      <c r="I84" s="73">
        <f t="shared" si="137"/>
        <v>74.582999999999998</v>
      </c>
      <c r="J84" s="73">
        <f t="shared" si="137"/>
        <v>71.558999999999997</v>
      </c>
      <c r="K84" s="73">
        <f t="shared" si="137"/>
        <v>68.433000000000007</v>
      </c>
      <c r="L84" s="73">
        <f t="shared" si="137"/>
        <v>74.582999999999998</v>
      </c>
      <c r="M84" s="73">
        <f t="shared" si="137"/>
        <v>97.347999999999999</v>
      </c>
      <c r="AO84" s="133" t="s">
        <v>668</v>
      </c>
      <c r="AP84" s="82"/>
      <c r="AQ84" s="82"/>
      <c r="AR84" s="82"/>
      <c r="AS84" s="82"/>
      <c r="AT84" s="82"/>
      <c r="AU84" s="82"/>
      <c r="AV84" s="82"/>
      <c r="AW84" s="82"/>
      <c r="AX84" s="82"/>
      <c r="AY84" s="82"/>
      <c r="AZ84" s="82"/>
      <c r="BA84" s="82"/>
      <c r="BB84" s="82"/>
      <c r="BC84" s="82"/>
      <c r="BD84" s="82"/>
      <c r="BE84" s="82"/>
      <c r="BF84" s="82"/>
    </row>
    <row r="85" spans="2:58">
      <c r="B85" s="59" t="s">
        <v>317</v>
      </c>
      <c r="C85" s="60" t="s">
        <v>24</v>
      </c>
      <c r="D85" s="73">
        <f>SUM(D82:D83)</f>
        <v>70.679999999999978</v>
      </c>
      <c r="E85" s="73">
        <f t="shared" ref="E85:M85" si="138">SUM(E82:E83)</f>
        <v>70.679999999999978</v>
      </c>
      <c r="F85" s="73">
        <f t="shared" si="138"/>
        <v>61.255999999999986</v>
      </c>
      <c r="G85" s="73">
        <f t="shared" si="138"/>
        <v>25.915999999999997</v>
      </c>
      <c r="H85" s="73">
        <f t="shared" si="138"/>
        <v>25.915999999999997</v>
      </c>
      <c r="I85" s="73">
        <f t="shared" si="138"/>
        <v>25.915999999999997</v>
      </c>
      <c r="J85" s="73">
        <f t="shared" si="138"/>
        <v>21.203999999999997</v>
      </c>
      <c r="K85" s="73">
        <f t="shared" si="138"/>
        <v>16.491999999999997</v>
      </c>
      <c r="L85" s="73">
        <f t="shared" si="138"/>
        <v>70.679999999999978</v>
      </c>
      <c r="M85" s="73">
        <f t="shared" si="138"/>
        <v>70.679999999999978</v>
      </c>
      <c r="AO85" s="130" t="s">
        <v>609</v>
      </c>
      <c r="AP85" s="82" t="e">
        <f>AP66-$BE$66</f>
        <v>#VALUE!</v>
      </c>
      <c r="AQ85" s="82" t="e">
        <f t="shared" ref="AQ85:BF85" si="139">AQ66-$BE$66</f>
        <v>#VALUE!</v>
      </c>
      <c r="AR85" s="82">
        <f t="shared" si="139"/>
        <v>-2181.0388411228341</v>
      </c>
      <c r="AS85" s="82" t="e">
        <f t="shared" si="139"/>
        <v>#VALUE!</v>
      </c>
      <c r="AT85" s="82">
        <f t="shared" si="139"/>
        <v>3</v>
      </c>
      <c r="AU85" s="82" t="e">
        <f t="shared" si="139"/>
        <v>#VALUE!</v>
      </c>
      <c r="AV85" s="82">
        <f t="shared" si="139"/>
        <v>-181.32630715038977</v>
      </c>
      <c r="AW85" s="82" t="e">
        <f t="shared" si="139"/>
        <v>#VALUE!</v>
      </c>
      <c r="AX85" s="82">
        <f t="shared" si="139"/>
        <v>1391.9565880162845</v>
      </c>
      <c r="AY85" s="82" t="e">
        <f t="shared" si="139"/>
        <v>#VALUE!</v>
      </c>
      <c r="AZ85" s="82">
        <f t="shared" si="139"/>
        <v>3323.2173875805602</v>
      </c>
      <c r="BA85" s="82">
        <f t="shared" si="139"/>
        <v>8990.149011123096</v>
      </c>
      <c r="BB85" s="82">
        <f t="shared" si="139"/>
        <v>3210.7032050088601</v>
      </c>
      <c r="BC85" s="82">
        <f t="shared" si="139"/>
        <v>8733.7090444648202</v>
      </c>
      <c r="BD85" s="82">
        <f t="shared" si="139"/>
        <v>4039.2684236936329</v>
      </c>
      <c r="BE85" s="82">
        <f t="shared" si="139"/>
        <v>0</v>
      </c>
      <c r="BF85" s="82">
        <f t="shared" si="139"/>
        <v>-2198.3628511128773</v>
      </c>
    </row>
    <row r="86" spans="2:58">
      <c r="B86" s="59" t="s">
        <v>318</v>
      </c>
      <c r="C86" s="60" t="s">
        <v>24</v>
      </c>
      <c r="D86" s="73">
        <f>SUM(D84:D85)</f>
        <v>161.60999999999996</v>
      </c>
      <c r="E86" s="73">
        <f t="shared" ref="E86:M86" si="140">SUM(E84:E85)</f>
        <v>168.02799999999996</v>
      </c>
      <c r="F86" s="73">
        <f t="shared" si="140"/>
        <v>126.83899999999998</v>
      </c>
      <c r="G86" s="73">
        <f t="shared" si="140"/>
        <v>123.7</v>
      </c>
      <c r="H86" s="73">
        <f t="shared" si="140"/>
        <v>114.121</v>
      </c>
      <c r="I86" s="73">
        <f t="shared" si="140"/>
        <v>100.499</v>
      </c>
      <c r="J86" s="73">
        <f t="shared" si="140"/>
        <v>92.762999999999991</v>
      </c>
      <c r="K86" s="73">
        <f t="shared" si="140"/>
        <v>84.925000000000011</v>
      </c>
      <c r="L86" s="73">
        <f t="shared" si="140"/>
        <v>145.26299999999998</v>
      </c>
      <c r="M86" s="73">
        <f t="shared" si="140"/>
        <v>168.02799999999996</v>
      </c>
      <c r="AO86" s="130" t="s">
        <v>610</v>
      </c>
      <c r="AP86" s="82" t="e">
        <f t="shared" ref="AP86:BF87" si="141">AP67-$BE$66</f>
        <v>#VALUE!</v>
      </c>
      <c r="AQ86" s="82" t="e">
        <f t="shared" si="141"/>
        <v>#VALUE!</v>
      </c>
      <c r="AR86" s="82">
        <f t="shared" si="141"/>
        <v>-1964.2790669141541</v>
      </c>
      <c r="AS86" s="82" t="e">
        <f t="shared" si="141"/>
        <v>#VALUE!</v>
      </c>
      <c r="AT86" s="82">
        <f t="shared" si="141"/>
        <v>1224.5867445199401</v>
      </c>
      <c r="AU86" s="82" t="e">
        <f t="shared" si="141"/>
        <v>#VALUE!</v>
      </c>
      <c r="AV86" s="82">
        <f t="shared" si="141"/>
        <v>35.433467058290262</v>
      </c>
      <c r="AW86" s="82" t="e">
        <f t="shared" si="141"/>
        <v>#VALUE!</v>
      </c>
      <c r="AX86" s="82">
        <f t="shared" si="141"/>
        <v>1608.71636222495</v>
      </c>
      <c r="AY86" s="82" t="e">
        <f t="shared" si="141"/>
        <v>#VALUE!</v>
      </c>
      <c r="AZ86" s="82">
        <f t="shared" si="141"/>
        <v>3539.9771617892256</v>
      </c>
      <c r="BA86" s="82" t="e">
        <f t="shared" si="141"/>
        <v>#VALUE!</v>
      </c>
      <c r="BB86" s="82">
        <f t="shared" si="141"/>
        <v>3427.4629792175401</v>
      </c>
      <c r="BC86" s="82">
        <f t="shared" si="141"/>
        <v>9131.1019638473954</v>
      </c>
      <c r="BD86" s="82">
        <f t="shared" si="141"/>
        <v>4256.028197902313</v>
      </c>
      <c r="BE86" s="82">
        <f t="shared" si="141"/>
        <v>1316.75977420868</v>
      </c>
      <c r="BF86" s="82">
        <f t="shared" si="141"/>
        <v>-1981.6030769041972</v>
      </c>
    </row>
    <row r="87" spans="2:58">
      <c r="B87" s="165" t="s">
        <v>785</v>
      </c>
      <c r="C87" s="129" t="s">
        <v>450</v>
      </c>
      <c r="D87" s="73">
        <f>$C$92*(D86^2)+(D86*$C$93)+$C$94</f>
        <v>42.437689069999969</v>
      </c>
      <c r="E87" s="53">
        <f>E27</f>
        <v>43.74</v>
      </c>
      <c r="F87" s="53">
        <f>G27</f>
        <v>34.840000000000003</v>
      </c>
      <c r="G87" s="53">
        <f>I27</f>
        <v>34.68</v>
      </c>
      <c r="H87" s="53">
        <f>K27</f>
        <v>29.52</v>
      </c>
      <c r="I87" s="53">
        <f>M27</f>
        <v>24.71</v>
      </c>
      <c r="J87" s="53">
        <f>O27</f>
        <v>19.73</v>
      </c>
      <c r="K87" s="53">
        <f>Q27</f>
        <v>14.85</v>
      </c>
      <c r="L87" s="73">
        <f>$C$92*(L86^2)+(L86*$C$93)+$C$94</f>
        <v>39.828395642299988</v>
      </c>
      <c r="M87" s="73">
        <f>$C$92*(M86^2)+(M86*$C$93)+$C$94</f>
        <v>42.97997541279998</v>
      </c>
      <c r="AO87" s="130" t="s">
        <v>611</v>
      </c>
      <c r="AP87" s="82" t="e">
        <f t="shared" si="141"/>
        <v>#VALUE!</v>
      </c>
      <c r="AQ87" s="82" t="e">
        <f t="shared" si="141"/>
        <v>#VALUE!</v>
      </c>
      <c r="AR87" s="82">
        <f t="shared" si="141"/>
        <v>-1747.5192927054886</v>
      </c>
      <c r="AS87" s="82" t="e">
        <f t="shared" si="141"/>
        <v>#VALUE!</v>
      </c>
      <c r="AT87" s="82">
        <f t="shared" si="141"/>
        <v>1441.3465187286201</v>
      </c>
      <c r="AU87" s="82" t="e">
        <f t="shared" si="141"/>
        <v>#VALUE!</v>
      </c>
      <c r="AV87" s="82">
        <f t="shared" si="141"/>
        <v>252.19324126695574</v>
      </c>
      <c r="AW87" s="82" t="e">
        <f t="shared" si="141"/>
        <v>#VALUE!</v>
      </c>
      <c r="AX87" s="82">
        <f t="shared" si="141"/>
        <v>1825.47613643363</v>
      </c>
      <c r="AY87" s="82" t="e">
        <f t="shared" si="141"/>
        <v>#VALUE!</v>
      </c>
      <c r="AZ87" s="82">
        <f t="shared" si="141"/>
        <v>3756.7369359979057</v>
      </c>
      <c r="BA87" s="82" t="e">
        <f t="shared" si="141"/>
        <v>#VALUE!</v>
      </c>
      <c r="BB87" s="82">
        <f t="shared" si="141"/>
        <v>3644.2227534262056</v>
      </c>
      <c r="BC87" s="82">
        <f t="shared" si="141"/>
        <v>9528.494883229956</v>
      </c>
      <c r="BD87" s="82">
        <f t="shared" si="141"/>
        <v>4472.787972110993</v>
      </c>
      <c r="BE87" s="82">
        <f t="shared" si="141"/>
        <v>1533.5195484173455</v>
      </c>
      <c r="BF87" s="82">
        <f t="shared" si="141"/>
        <v>-1764.8433026955317</v>
      </c>
    </row>
    <row r="88" spans="2:58">
      <c r="AO88" s="130" t="s">
        <v>611</v>
      </c>
      <c r="AP88" s="82" t="e">
        <f t="shared" ref="AP88:BF88" si="142">AP68-$BE$66</f>
        <v>#VALUE!</v>
      </c>
      <c r="AQ88" s="82" t="e">
        <f t="shared" si="142"/>
        <v>#VALUE!</v>
      </c>
      <c r="AR88" s="82">
        <f t="shared" si="142"/>
        <v>-1747.5192927054886</v>
      </c>
      <c r="AS88" s="82" t="e">
        <f t="shared" si="142"/>
        <v>#VALUE!</v>
      </c>
      <c r="AT88" s="82">
        <f t="shared" si="142"/>
        <v>1441.3465187286201</v>
      </c>
      <c r="AU88" s="82" t="e">
        <f t="shared" si="142"/>
        <v>#VALUE!</v>
      </c>
      <c r="AV88" s="82">
        <f t="shared" si="142"/>
        <v>252.19324126695574</v>
      </c>
      <c r="AW88" s="82" t="e">
        <f t="shared" si="142"/>
        <v>#VALUE!</v>
      </c>
      <c r="AX88" s="82">
        <f t="shared" si="142"/>
        <v>1825.47613643363</v>
      </c>
      <c r="AY88" s="82" t="e">
        <f t="shared" si="142"/>
        <v>#VALUE!</v>
      </c>
      <c r="AZ88" s="82">
        <f t="shared" si="142"/>
        <v>3756.7369359979057</v>
      </c>
      <c r="BA88" s="82" t="e">
        <f t="shared" si="142"/>
        <v>#VALUE!</v>
      </c>
      <c r="BB88" s="82">
        <f t="shared" si="142"/>
        <v>3644.2227534262056</v>
      </c>
      <c r="BC88" s="82">
        <f t="shared" si="142"/>
        <v>9528.494883229956</v>
      </c>
      <c r="BD88" s="82">
        <f t="shared" si="142"/>
        <v>4472.787972110993</v>
      </c>
      <c r="BE88" s="82">
        <f t="shared" si="142"/>
        <v>1533.5195484173455</v>
      </c>
      <c r="BF88" s="82">
        <f t="shared" si="142"/>
        <v>-1764.8433026955317</v>
      </c>
    </row>
    <row r="89" spans="2:58">
      <c r="B89" s="1" t="s">
        <v>390</v>
      </c>
      <c r="AO89" s="130" t="s">
        <v>612</v>
      </c>
      <c r="AP89" s="82" t="e">
        <f t="shared" ref="AP89:BF89" si="143">AP69-$BE$66</f>
        <v>#VALUE!</v>
      </c>
      <c r="AQ89" s="82" t="e">
        <f t="shared" si="143"/>
        <v>#VALUE!</v>
      </c>
      <c r="AR89" s="82">
        <f t="shared" si="143"/>
        <v>-1530.7595184968086</v>
      </c>
      <c r="AS89" s="82" t="e">
        <f t="shared" si="143"/>
        <v>#VALUE!</v>
      </c>
      <c r="AT89" s="82">
        <f t="shared" si="143"/>
        <v>1658.1062929372856</v>
      </c>
      <c r="AU89" s="82" t="e">
        <f t="shared" si="143"/>
        <v>#VALUE!</v>
      </c>
      <c r="AV89" s="82">
        <f t="shared" si="143"/>
        <v>468.95301547563577</v>
      </c>
      <c r="AW89" s="82" t="e">
        <f t="shared" si="143"/>
        <v>#VALUE!</v>
      </c>
      <c r="AX89" s="82">
        <f t="shared" si="143"/>
        <v>2042.2359106422955</v>
      </c>
      <c r="AY89" s="82" t="e">
        <f t="shared" si="143"/>
        <v>#VALUE!</v>
      </c>
      <c r="AZ89" s="82">
        <f t="shared" si="143"/>
        <v>3973.4967102065857</v>
      </c>
      <c r="BA89" s="82" t="e">
        <f t="shared" si="143"/>
        <v>#VALUE!</v>
      </c>
      <c r="BB89" s="82">
        <f t="shared" si="143"/>
        <v>3860.9825276348856</v>
      </c>
      <c r="BC89" s="82">
        <f t="shared" si="143"/>
        <v>9925.8878026125312</v>
      </c>
      <c r="BD89" s="82">
        <f t="shared" si="143"/>
        <v>4689.5477463196585</v>
      </c>
      <c r="BE89" s="82">
        <f t="shared" si="143"/>
        <v>1750.2793226260255</v>
      </c>
      <c r="BF89" s="82">
        <f t="shared" si="143"/>
        <v>-1548.0835284868517</v>
      </c>
    </row>
    <row r="90" spans="2:58">
      <c r="B90" t="s">
        <v>391</v>
      </c>
      <c r="AO90" s="130" t="s">
        <v>613</v>
      </c>
      <c r="AP90" s="82" t="e">
        <f t="shared" ref="AP90:BF90" si="144">AP70-$BE$66</f>
        <v>#VALUE!</v>
      </c>
      <c r="AQ90" s="82" t="e">
        <f t="shared" si="144"/>
        <v>#VALUE!</v>
      </c>
      <c r="AR90" s="82">
        <f t="shared" si="144"/>
        <v>-1313.9997442881431</v>
      </c>
      <c r="AS90" s="82" t="e">
        <f t="shared" si="144"/>
        <v>#VALUE!</v>
      </c>
      <c r="AT90" s="82">
        <f t="shared" si="144"/>
        <v>1874.8660671459656</v>
      </c>
      <c r="AU90" s="82" t="e">
        <f t="shared" si="144"/>
        <v>#VALUE!</v>
      </c>
      <c r="AV90" s="82">
        <f t="shared" si="144"/>
        <v>685.71278968430124</v>
      </c>
      <c r="AW90" s="82" t="e">
        <f t="shared" si="144"/>
        <v>#VALUE!</v>
      </c>
      <c r="AX90" s="82">
        <f t="shared" si="144"/>
        <v>2258.9956848509755</v>
      </c>
      <c r="AY90" s="82" t="e">
        <f t="shared" si="144"/>
        <v>#VALUE!</v>
      </c>
      <c r="AZ90" s="82">
        <f t="shared" si="144"/>
        <v>4190.2564844152512</v>
      </c>
      <c r="BA90" s="82" t="e">
        <f t="shared" si="144"/>
        <v>#VALUE!</v>
      </c>
      <c r="BB90" s="82">
        <f t="shared" si="144"/>
        <v>4077.7423018435511</v>
      </c>
      <c r="BC90" s="82" t="e">
        <f t="shared" si="144"/>
        <v>#VALUE!</v>
      </c>
      <c r="BD90" s="82">
        <f t="shared" si="144"/>
        <v>4906.3075205283385</v>
      </c>
      <c r="BE90" s="82">
        <f t="shared" si="144"/>
        <v>1967.039096834691</v>
      </c>
      <c r="BF90" s="82">
        <f t="shared" si="144"/>
        <v>-1331.3237542781717</v>
      </c>
    </row>
    <row r="91" spans="2:58">
      <c r="B91" t="s">
        <v>392</v>
      </c>
      <c r="AO91" s="130" t="s">
        <v>614</v>
      </c>
      <c r="AP91" s="82" t="e">
        <f t="shared" ref="AP91:BF91" si="145">AP71-$BE$66</f>
        <v>#VALUE!</v>
      </c>
      <c r="AQ91" s="82" t="e">
        <f t="shared" si="145"/>
        <v>#VALUE!</v>
      </c>
      <c r="AR91" s="82">
        <f t="shared" si="145"/>
        <v>-1097.2399700794631</v>
      </c>
      <c r="AS91" s="82" t="e">
        <f t="shared" si="145"/>
        <v>#VALUE!</v>
      </c>
      <c r="AT91" s="82">
        <f t="shared" si="145"/>
        <v>2091.6258413546457</v>
      </c>
      <c r="AU91" s="82" t="e">
        <f t="shared" si="145"/>
        <v>#VALUE!</v>
      </c>
      <c r="AV91" s="82">
        <f t="shared" si="145"/>
        <v>902.47256389298127</v>
      </c>
      <c r="AW91" s="82" t="e">
        <f t="shared" si="145"/>
        <v>#VALUE!</v>
      </c>
      <c r="AX91" s="82">
        <f t="shared" si="145"/>
        <v>2475.755459059641</v>
      </c>
      <c r="AY91" s="82" t="e">
        <f t="shared" si="145"/>
        <v>#VALUE!</v>
      </c>
      <c r="AZ91" s="82">
        <f t="shared" si="145"/>
        <v>4407.0162586239312</v>
      </c>
      <c r="BA91" s="82" t="e">
        <f t="shared" si="145"/>
        <v>#VALUE!</v>
      </c>
      <c r="BB91" s="82">
        <f t="shared" si="145"/>
        <v>4294.5020760522311</v>
      </c>
      <c r="BC91" s="82" t="e">
        <f t="shared" si="145"/>
        <v>#VALUE!</v>
      </c>
      <c r="BD91" s="82">
        <f t="shared" si="145"/>
        <v>5123.067294737004</v>
      </c>
      <c r="BE91" s="82">
        <f t="shared" si="145"/>
        <v>2183.798871043371</v>
      </c>
      <c r="BF91" s="82">
        <f t="shared" si="145"/>
        <v>-1114.5639800695062</v>
      </c>
    </row>
    <row r="92" spans="2:58">
      <c r="B92" t="s">
        <v>393</v>
      </c>
      <c r="C92" s="8">
        <v>-3.3E-3</v>
      </c>
      <c r="AO92" s="130" t="s">
        <v>615</v>
      </c>
      <c r="AP92" s="82" t="e">
        <f t="shared" ref="AP92:BF92" si="146">AP72-$BE$66</f>
        <v>#VALUE!</v>
      </c>
      <c r="AQ92" s="82" t="e">
        <f t="shared" si="146"/>
        <v>#VALUE!</v>
      </c>
      <c r="AR92" s="82">
        <f t="shared" si="146"/>
        <v>-13.441099036092055</v>
      </c>
      <c r="AS92" s="82" t="e">
        <f t="shared" si="146"/>
        <v>#VALUE!</v>
      </c>
      <c r="AT92" s="82">
        <f t="shared" si="146"/>
        <v>3175.4247123980022</v>
      </c>
      <c r="AU92" s="82" t="e">
        <f t="shared" si="146"/>
        <v>#VALUE!</v>
      </c>
      <c r="AV92" s="82">
        <f t="shared" si="146"/>
        <v>3165.4976307166362</v>
      </c>
      <c r="AW92" s="82" t="e">
        <f t="shared" si="146"/>
        <v>#VALUE!</v>
      </c>
      <c r="AX92" s="82">
        <f t="shared" si="146"/>
        <v>4640.7662718555221</v>
      </c>
      <c r="AY92" s="82" t="e">
        <f t="shared" si="146"/>
        <v>#VALUE!</v>
      </c>
      <c r="AZ92" s="82">
        <f t="shared" si="146"/>
        <v>6480.6610710567038</v>
      </c>
      <c r="BA92" s="82" t="e">
        <f t="shared" si="146"/>
        <v>#VALUE!</v>
      </c>
      <c r="BB92" s="82">
        <f t="shared" si="146"/>
        <v>5378.3009470956022</v>
      </c>
      <c r="BC92" s="82" t="e">
        <f t="shared" si="146"/>
        <v>#VALUE!</v>
      </c>
      <c r="BD92" s="82">
        <f t="shared" si="146"/>
        <v>6206.866165780375</v>
      </c>
      <c r="BE92" s="82">
        <f t="shared" si="146"/>
        <v>3267.5977420867421</v>
      </c>
      <c r="BF92" s="82">
        <f t="shared" si="146"/>
        <v>-30.765109026135178</v>
      </c>
    </row>
    <row r="93" spans="2:58">
      <c r="B93" t="s">
        <v>394</v>
      </c>
      <c r="C93" s="8">
        <v>1.1722999999999999</v>
      </c>
    </row>
    <row r="94" spans="2:58">
      <c r="B94" t="s">
        <v>395</v>
      </c>
      <c r="C94" s="8">
        <v>-60.829000000000001</v>
      </c>
      <c r="AO94" s="11" t="s">
        <v>717</v>
      </c>
    </row>
    <row r="95" spans="2:58" ht="72">
      <c r="AO95" s="144" t="s">
        <v>16</v>
      </c>
      <c r="AP95" s="117" t="s">
        <v>343</v>
      </c>
      <c r="AQ95" s="117" t="s">
        <v>435</v>
      </c>
      <c r="AR95" s="117" t="s">
        <v>436</v>
      </c>
      <c r="AS95" s="117" t="s">
        <v>437</v>
      </c>
      <c r="AT95" s="117" t="s">
        <v>438</v>
      </c>
      <c r="AU95" s="117" t="s">
        <v>439</v>
      </c>
      <c r="AV95" s="117" t="s">
        <v>440</v>
      </c>
      <c r="AW95" s="117" t="s">
        <v>441</v>
      </c>
      <c r="AX95" s="117" t="s">
        <v>442</v>
      </c>
      <c r="AY95" s="117" t="s">
        <v>443</v>
      </c>
      <c r="AZ95" s="117" t="s">
        <v>444</v>
      </c>
      <c r="BA95" s="117" t="s">
        <v>445</v>
      </c>
      <c r="BB95" s="117" t="s">
        <v>446</v>
      </c>
      <c r="BC95" s="117" t="s">
        <v>447</v>
      </c>
      <c r="BD95" s="117" t="s">
        <v>677</v>
      </c>
      <c r="BE95" s="117" t="s">
        <v>351</v>
      </c>
      <c r="BF95" s="117" t="s">
        <v>791</v>
      </c>
    </row>
    <row r="96" spans="2:58">
      <c r="AO96" s="133" t="s">
        <v>667</v>
      </c>
      <c r="AP96" s="132"/>
      <c r="AQ96" s="132"/>
      <c r="AR96" s="132"/>
      <c r="AS96" s="132"/>
      <c r="AT96" s="132"/>
      <c r="AU96" s="132"/>
      <c r="AV96" s="132"/>
      <c r="AW96" s="132"/>
      <c r="AX96" s="132"/>
      <c r="AY96" s="132"/>
      <c r="AZ96" s="132"/>
      <c r="BA96" s="132"/>
      <c r="BB96" s="132"/>
      <c r="BC96" s="132"/>
      <c r="BD96" s="132"/>
      <c r="BE96" s="132"/>
      <c r="BF96" s="132"/>
    </row>
    <row r="97" spans="2:58">
      <c r="B97" s="1" t="s">
        <v>715</v>
      </c>
      <c r="AO97" s="130" t="s">
        <v>609</v>
      </c>
      <c r="AP97" s="82" cm="1">
        <f t="array" ref="AP97">AP58-MIN(IF(ISNUMBER($AP$58:$BE$58),$AP$58:$BE$58))</f>
        <v>4001.5692307692225</v>
      </c>
      <c r="AQ97" s="82" cm="1">
        <f t="array" ref="AQ97">AQ58-MIN(IF(ISNUMBER($AP$58:$BE$58),$AP$58:$BE$58))</f>
        <v>4504.5333311804134</v>
      </c>
      <c r="AR97" s="82" cm="1">
        <f t="array" ref="AR97">AR58-MIN(IF(ISNUMBER($AP$58:$BE$58),$AP$58:$BE$58))</f>
        <v>0</v>
      </c>
      <c r="AS97" s="82" cm="1">
        <f t="array" ref="AS97">AS58-MIN(IF(ISNUMBER($AP$58:$BE$58),$AP$58:$BE$58))</f>
        <v>5384.9727601978666</v>
      </c>
      <c r="AT97" s="82" cm="1">
        <f t="array" ref="AT97">AT58-MIN(IF(ISNUMBER($AP$58:$BE$58),$AP$58:$BE$58))</f>
        <v>3373.1999999999825</v>
      </c>
      <c r="AU97" s="82" cm="1">
        <f t="array" ref="AU97">AU58-MIN(IF(ISNUMBER($AP$58:$BE$58),$AP$58:$BE$58))</f>
        <v>4183.2349953232624</v>
      </c>
      <c r="AV97" s="82" cm="1">
        <f t="array" ref="AV97">AV58-MIN(IF(ISNUMBER($AP$58:$BE$58),$AP$58:$BE$58))</f>
        <v>1521.3999999999942</v>
      </c>
      <c r="AW97" s="82" cm="1">
        <f t="array" ref="AW97">AW58-MIN(IF(ISNUMBER($AP$58:$BE$58),$AP$58:$BE$58))</f>
        <v>5184.2022574741422</v>
      </c>
      <c r="AX97" s="82" cm="1">
        <f t="array" ref="AX97">AX58-MIN(IF(ISNUMBER($AP$58:$BE$58),$AP$58:$BE$58))</f>
        <v>3212.2999999999884</v>
      </c>
      <c r="AY97" s="82" cm="1">
        <f t="array" ref="AY97">AY58-MIN(IF(ISNUMBER($AP$58:$BE$58),$AP$58:$BE$58))</f>
        <v>6581.9672828512121</v>
      </c>
      <c r="AZ97" s="82" cm="1">
        <f t="array" ref="AZ97">AZ58-MIN(IF(ISNUMBER($AP$58:$BE$58),$AP$58:$BE$58))</f>
        <v>5253.1999999999825</v>
      </c>
      <c r="BA97" s="82" cm="1">
        <f t="array" ref="BA97">BA58-MIN(IF(ISNUMBER($AP$58:$BE$58),$AP$58:$BE$58))</f>
        <v>5917.1019660898601</v>
      </c>
      <c r="BB97" s="82" cm="1">
        <f t="array" ref="BB97">BB58-MIN(IF(ISNUMBER($AP$58:$BE$58),$AP$58:$BE$58))</f>
        <v>5254.1999999999825</v>
      </c>
      <c r="BC97" s="82" cm="1">
        <f t="array" ref="BC97">BC58-MIN(IF(ISNUMBER($AP$58:$BE$58),$AP$58:$BE$58))</f>
        <v>5486</v>
      </c>
      <c r="BD97" s="82" cm="1">
        <f t="array" ref="BD97">BD58-MIN(IF(ISNUMBER($AP$58:$BE$58),$AP$58:$BE$58))</f>
        <v>6194</v>
      </c>
      <c r="BE97" s="82" cm="1">
        <f t="array" ref="BE97">BE58-MIN(IF(ISNUMBER($AP$58:$BE$58),$AP$58:$BE$58))</f>
        <v>3370.1999999999825</v>
      </c>
      <c r="BF97" s="82" cm="1">
        <f t="array" ref="BF97">BF58-MIN(IF(ISNUMBER($AP$58:$BF$58),$AP$58:$BF$58))</f>
        <v>0</v>
      </c>
    </row>
    <row r="98" spans="2:58">
      <c r="B98" t="s">
        <v>722</v>
      </c>
      <c r="AO98" s="130" t="s">
        <v>610</v>
      </c>
      <c r="AP98" s="82" cm="1">
        <f t="array" ref="AP98">AP59-MIN(IF(ISNUMBER($AP$58:$BE$58),$AP$58:$BE$58))</f>
        <v>5843.0193831219804</v>
      </c>
      <c r="AQ98" s="82" cm="1">
        <f t="array" ref="AQ98">AQ59-MIN(IF(ISNUMBER($AP$58:$BE$58),$AP$58:$BE$58))</f>
        <v>5633.6757912254689</v>
      </c>
      <c r="AR98" s="82" cm="1">
        <f t="array" ref="AR98">AR59-MIN(IF(ISNUMBER($AP$58:$BE$58),$AP$58:$BE$58))</f>
        <v>0</v>
      </c>
      <c r="AS98" s="82" cm="1">
        <f t="array" ref="AS98">AS59-MIN(IF(ISNUMBER($AP$58:$BE$58),$AP$58:$BE$58))</f>
        <v>6000.8686474951683</v>
      </c>
      <c r="AT98" s="82" cm="1">
        <f t="array" ref="AT98">AT59-MIN(IF(ISNUMBER($AP$58:$BE$58),$AP$58:$BE$58))</f>
        <v>3373.1999999999825</v>
      </c>
      <c r="AU98" s="82" cm="1">
        <f t="array" ref="AU98">AU59-MIN(IF(ISNUMBER($AP$58:$BE$58),$AP$58:$BE$58))</f>
        <v>6103.9066181377275</v>
      </c>
      <c r="AV98" s="82" cm="1">
        <f t="array" ref="AV98">AV59-MIN(IF(ISNUMBER($AP$58:$BE$58),$AP$58:$BE$58))</f>
        <v>1521.3999999999942</v>
      </c>
      <c r="AW98" s="82" cm="1">
        <f t="array" ref="AW98">AW59-MIN(IF(ISNUMBER($AP$58:$BE$58),$AP$58:$BE$58))</f>
        <v>5800.0981447714439</v>
      </c>
      <c r="AX98" s="82" cm="1">
        <f t="array" ref="AX98">AX59-MIN(IF(ISNUMBER($AP$58:$BE$58),$AP$58:$BE$58))</f>
        <v>3212.2999999999884</v>
      </c>
      <c r="AY98" s="82" cm="1">
        <f t="array" ref="AY98">AY59-MIN(IF(ISNUMBER($AP$58:$BE$58),$AP$58:$BE$58))</f>
        <v>7197.8631701485283</v>
      </c>
      <c r="AZ98" s="82" cm="1">
        <f t="array" ref="AZ98">AZ59-MIN(IF(ISNUMBER($AP$58:$BE$58),$AP$58:$BE$58))</f>
        <v>5253.1999999999825</v>
      </c>
      <c r="BA98" s="82" cm="1">
        <f t="array" ref="BA98">BA59-MIN(IF(ISNUMBER($AP$58:$BE$58),$AP$58:$BE$58))</f>
        <v>6532.9978533871763</v>
      </c>
      <c r="BB98" s="82" cm="1">
        <f t="array" ref="BB98">BB59-MIN(IF(ISNUMBER($AP$58:$BE$58),$AP$58:$BE$58))</f>
        <v>5254.1999999999825</v>
      </c>
      <c r="BC98" s="82" cm="1">
        <f t="array" ref="BC98">BC59-MIN(IF(ISNUMBER($AP$58:$BE$58),$AP$58:$BE$58))</f>
        <v>6820.3033261190285</v>
      </c>
      <c r="BD98" s="82" cm="1">
        <f t="array" ref="BD98">BD59-MIN(IF(ISNUMBER($AP$58:$BE$58),$AP$58:$BE$58))</f>
        <v>6194</v>
      </c>
      <c r="BE98" s="82" cm="1">
        <f t="array" ref="BE98">BE59-MIN(IF(ISNUMBER($AP$58:$BE$58),$AP$58:$BE$58))</f>
        <v>3370.1999999999825</v>
      </c>
      <c r="BF98" s="82" cm="1">
        <f t="array" ref="BF98">BF59-MIN(IF(ISNUMBER($AP$58:$BF$58),$AP$58:$BF$58))</f>
        <v>0</v>
      </c>
    </row>
    <row r="99" spans="2:58" s="150" customFormat="1" ht="57.6">
      <c r="C99" s="149" t="str">
        <f>D2</f>
        <v>Fabric Standard</v>
      </c>
      <c r="D99" s="119" t="str">
        <f>D3</f>
        <v>Part L 21</v>
      </c>
      <c r="E99" s="119" t="str">
        <f t="shared" ref="E99:T99" si="147">E3</f>
        <v xml:space="preserve">Notional Building C&amp;B </v>
      </c>
      <c r="F99" s="119" t="str">
        <f t="shared" si="147"/>
        <v xml:space="preserve">Notional Building C&amp;B </v>
      </c>
      <c r="G99" s="119" t="str">
        <f t="shared" si="147"/>
        <v>35 kWh/m2.year</v>
      </c>
      <c r="H99" s="119" t="str">
        <f t="shared" si="147"/>
        <v>35 kWh/m2.year</v>
      </c>
      <c r="I99" s="119" t="str">
        <f t="shared" si="147"/>
        <v>35 kWh/m2.year</v>
      </c>
      <c r="J99" s="119" t="str">
        <f t="shared" si="147"/>
        <v>35 kWh/m2.year</v>
      </c>
      <c r="K99" s="119" t="str">
        <f t="shared" si="147"/>
        <v>30 kWh/m2.year</v>
      </c>
      <c r="L99" s="119" t="str">
        <f t="shared" si="147"/>
        <v>30 kWh/m2.year</v>
      </c>
      <c r="M99" s="119" t="str">
        <f t="shared" si="147"/>
        <v>25 kWh/m2.year</v>
      </c>
      <c r="N99" s="119" t="str">
        <f t="shared" si="147"/>
        <v>25 kWh/m2.year</v>
      </c>
      <c r="O99" s="119" t="str">
        <f t="shared" si="147"/>
        <v>20 kWh/m2.year</v>
      </c>
      <c r="P99" s="119" t="str">
        <f t="shared" si="147"/>
        <v>20 kWh/m2.year</v>
      </c>
      <c r="Q99" s="119" t="str">
        <f t="shared" si="147"/>
        <v>15 kWh/m2.year (Passivhaus)</v>
      </c>
      <c r="R99" s="119" t="str">
        <f t="shared" si="147"/>
        <v>15 kWh/m2.year (Passivhaus)</v>
      </c>
      <c r="S99" s="119" t="str">
        <f t="shared" si="147"/>
        <v>FHS</v>
      </c>
      <c r="T99" s="119" t="str">
        <f t="shared" si="147"/>
        <v>Bespoke</v>
      </c>
      <c r="V99" s="151"/>
      <c r="AO99" s="152" t="s">
        <v>611</v>
      </c>
      <c r="AP99" s="82" cm="1">
        <f t="array" ref="AP99">AP60-MIN(IF(ISNUMBER($AP$58:$BE$58),$AP$58:$BE$58))</f>
        <v>6972.1618431670504</v>
      </c>
      <c r="AQ99" s="82" cm="1">
        <f t="array" ref="AQ99">AQ60-MIN(IF(ISNUMBER($AP$58:$BE$58),$AP$58:$BE$58))</f>
        <v>6762.8182512705389</v>
      </c>
      <c r="AR99" s="82" cm="1">
        <f t="array" ref="AR99">AR60-MIN(IF(ISNUMBER($AP$58:$BE$58),$AP$58:$BE$58))</f>
        <v>0</v>
      </c>
      <c r="AS99" s="82" cm="1">
        <f t="array" ref="AS99">AS60-MIN(IF(ISNUMBER($AP$58:$BE$58),$AP$58:$BE$58))</f>
        <v>7893.0683137862361</v>
      </c>
      <c r="AT99" s="82" cm="1">
        <f t="array" ref="AT99">AT60-MIN(IF(ISNUMBER($AP$58:$BE$58),$AP$58:$BE$58))</f>
        <v>3373.1999999999825</v>
      </c>
      <c r="AU99" s="82" cm="1">
        <f t="array" ref="AU99">AU60-MIN(IF(ISNUMBER($AP$58:$BE$58),$AP$58:$BE$58))</f>
        <v>7233.0490781827975</v>
      </c>
      <c r="AV99" s="82" cm="1">
        <f t="array" ref="AV99">AV60-MIN(IF(ISNUMBER($AP$58:$BE$58),$AP$58:$BE$58))</f>
        <v>1521.3999999999942</v>
      </c>
      <c r="AW99" s="82" cm="1">
        <f t="array" ref="AW99">AW60-MIN(IF(ISNUMBER($AP$58:$BE$58),$AP$58:$BE$58))</f>
        <v>7659.0723921260651</v>
      </c>
      <c r="AX99" s="82" cm="1">
        <f t="array" ref="AX99">AX60-MIN(IF(ISNUMBER($AP$58:$BE$58),$AP$58:$BE$58))</f>
        <v>3212.2999999999884</v>
      </c>
      <c r="AY99" s="82" cm="1">
        <f t="array" ref="AY99">AY60-MIN(IF(ISNUMBER($AP$58:$BE$58),$AP$58:$BE$58))</f>
        <v>7813.75905744583</v>
      </c>
      <c r="AZ99" s="82" cm="1">
        <f t="array" ref="AZ99">AZ60-MIN(IF(ISNUMBER($AP$58:$BE$58),$AP$58:$BE$58))</f>
        <v>5253.1999999999825</v>
      </c>
      <c r="BA99" s="82" cm="1">
        <f t="array" ref="BA99">BA60-MIN(IF(ISNUMBER($AP$58:$BE$58),$AP$58:$BE$58))</f>
        <v>7148.893740684478</v>
      </c>
      <c r="BB99" s="82" cm="1">
        <f t="array" ref="BB99">BB60-MIN(IF(ISNUMBER($AP$58:$BE$58),$AP$58:$BE$58))</f>
        <v>5254.1999999999825</v>
      </c>
      <c r="BC99" s="82" cm="1">
        <f t="array" ref="BC99">BC60-MIN(IF(ISNUMBER($AP$58:$BE$58),$AP$58:$BE$58))</f>
        <v>7436.1992134163447</v>
      </c>
      <c r="BD99" s="82" cm="1">
        <f t="array" ref="BD99">BD60-MIN(IF(ISNUMBER($AP$58:$BE$58),$AP$58:$BE$58))</f>
        <v>6194</v>
      </c>
      <c r="BE99" s="82" cm="1">
        <f t="array" ref="BE99">BE60-MIN(IF(ISNUMBER($AP$58:$BE$58),$AP$58:$BE$58))</f>
        <v>3370.1999999999825</v>
      </c>
      <c r="BF99" s="82" cm="1">
        <f t="array" ref="BF99">BF60-MIN(IF(ISNUMBER($AP$58:$BF$58),$AP$58:$BF$58))</f>
        <v>0</v>
      </c>
    </row>
    <row r="100" spans="2:58" s="150" customFormat="1">
      <c r="C100" s="149" t="str">
        <f>C4</f>
        <v>Gas / ASHP</v>
      </c>
      <c r="D100" s="119" t="str">
        <f>D4</f>
        <v>Gas</v>
      </c>
      <c r="E100" s="119" t="str">
        <f t="shared" ref="E100:T100" si="148">E4</f>
        <v>Gas</v>
      </c>
      <c r="F100" s="119" t="str">
        <f t="shared" si="148"/>
        <v>ASHP</v>
      </c>
      <c r="G100" s="119" t="str">
        <f t="shared" si="148"/>
        <v>Gas</v>
      </c>
      <c r="H100" s="119" t="str">
        <f t="shared" si="148"/>
        <v>ASHP</v>
      </c>
      <c r="I100" s="119" t="str">
        <f t="shared" si="148"/>
        <v>Gas</v>
      </c>
      <c r="J100" s="119" t="str">
        <f t="shared" si="148"/>
        <v>ASHP</v>
      </c>
      <c r="K100" s="119" t="str">
        <f t="shared" si="148"/>
        <v>Gas</v>
      </c>
      <c r="L100" s="119" t="str">
        <f t="shared" si="148"/>
        <v>ASHP</v>
      </c>
      <c r="M100" s="119" t="str">
        <f t="shared" si="148"/>
        <v>Gas</v>
      </c>
      <c r="N100" s="119" t="str">
        <f t="shared" si="148"/>
        <v>ASHP</v>
      </c>
      <c r="O100" s="119" t="str">
        <f t="shared" si="148"/>
        <v>Gas</v>
      </c>
      <c r="P100" s="119" t="str">
        <f t="shared" si="148"/>
        <v>ASHP</v>
      </c>
      <c r="Q100" s="119" t="str">
        <f t="shared" si="148"/>
        <v>Gas</v>
      </c>
      <c r="R100" s="119" t="str">
        <f t="shared" si="148"/>
        <v>ASHP</v>
      </c>
      <c r="S100" s="119" t="str">
        <f t="shared" si="148"/>
        <v>ASHP</v>
      </c>
      <c r="T100" s="119" t="str">
        <f t="shared" si="148"/>
        <v>ASHP</v>
      </c>
      <c r="V100" s="151"/>
      <c r="AO100" s="152" t="s">
        <v>612</v>
      </c>
      <c r="AP100" s="82" cm="1">
        <f t="array" ref="AP100">AP61-MIN(IF(ISNUMBER($AP$58:$BE$58),$AP$58:$BE$58))</f>
        <v>8101.3043032121059</v>
      </c>
      <c r="AQ100" s="82" t="e" cm="1">
        <f t="array" ref="AQ100">AQ61-MIN(IF(ISNUMBER($AP$58:$BE$58),$AP$58:$BE$58))</f>
        <v>#VALUE!</v>
      </c>
      <c r="AR100" s="82" cm="1">
        <f t="array" ref="AR100">AR61-MIN(IF(ISNUMBER($AP$58:$BE$58),$AP$58:$BE$58))</f>
        <v>0</v>
      </c>
      <c r="AS100" s="82" cm="1">
        <f t="array" ref="AS100">AS61-MIN(IF(ISNUMBER($AP$58:$BE$58),$AP$58:$BE$58))</f>
        <v>9022.2107738313061</v>
      </c>
      <c r="AT100" s="82" cm="1">
        <f t="array" ref="AT100">AT61-MIN(IF(ISNUMBER($AP$58:$BE$58),$AP$58:$BE$58))</f>
        <v>3373.1999999999825</v>
      </c>
      <c r="AU100" s="82" cm="1">
        <f t="array" ref="AU100">AU61-MIN(IF(ISNUMBER($AP$58:$BE$58),$AP$58:$BE$58))</f>
        <v>8362.191538227853</v>
      </c>
      <c r="AV100" s="82" cm="1">
        <f t="array" ref="AV100">AV61-MIN(IF(ISNUMBER($AP$58:$BE$58),$AP$58:$BE$58))</f>
        <v>1521.3999999999942</v>
      </c>
      <c r="AW100" s="82" cm="1">
        <f t="array" ref="AW100">AW61-MIN(IF(ISNUMBER($AP$58:$BE$58),$AP$58:$BE$58))</f>
        <v>8788.2148521711351</v>
      </c>
      <c r="AX100" s="82" cm="1">
        <f t="array" ref="AX100">AX61-MIN(IF(ISNUMBER($AP$58:$BE$58),$AP$58:$BE$58))</f>
        <v>3212.2999999999884</v>
      </c>
      <c r="AY100" s="82" cm="1">
        <f t="array" ref="AY100">AY61-MIN(IF(ISNUMBER($AP$58:$BE$58),$AP$58:$BE$58))</f>
        <v>9650.0340653624444</v>
      </c>
      <c r="AZ100" s="82" cm="1">
        <f t="array" ref="AZ100">AZ61-MIN(IF(ISNUMBER($AP$58:$BE$58),$AP$58:$BE$58))</f>
        <v>5253.1999999999825</v>
      </c>
      <c r="BA100" s="82" cm="1">
        <f t="array" ref="BA100">BA61-MIN(IF(ISNUMBER($AP$58:$BE$58),$AP$58:$BE$58))</f>
        <v>7764.7896279817942</v>
      </c>
      <c r="BB100" s="82" cm="1">
        <f t="array" ref="BB100">BB61-MIN(IF(ISNUMBER($AP$58:$BE$58),$AP$58:$BE$58))</f>
        <v>5254.1999999999825</v>
      </c>
      <c r="BC100" s="82" cm="1">
        <f t="array" ref="BC100">BC61-MIN(IF(ISNUMBER($AP$58:$BE$58),$AP$58:$BE$58))</f>
        <v>8052.0951007136464</v>
      </c>
      <c r="BD100" s="82" cm="1">
        <f t="array" ref="BD100">BD61-MIN(IF(ISNUMBER($AP$58:$BE$58),$AP$58:$BE$58))</f>
        <v>6194</v>
      </c>
      <c r="BE100" s="82" cm="1">
        <f t="array" ref="BE100">BE61-MIN(IF(ISNUMBER($AP$58:$BE$58),$AP$58:$BE$58))</f>
        <v>3370.1999999999825</v>
      </c>
      <c r="BF100" s="82" cm="1">
        <f t="array" ref="BF100">BF61-MIN(IF(ISNUMBER($AP$58:$BF$58),$AP$58:$BF$58))</f>
        <v>0</v>
      </c>
    </row>
    <row r="101" spans="2:58" s="150" customFormat="1" ht="28.8">
      <c r="C101" s="149" t="str">
        <f>C5</f>
        <v>Nat Vent / MVHR</v>
      </c>
      <c r="D101" s="119" t="str">
        <f>D5</f>
        <v>Natural Ventilation</v>
      </c>
      <c r="E101" s="119" t="str">
        <f t="shared" ref="E101:T101" si="149">E5</f>
        <v>Natural Ventilation</v>
      </c>
      <c r="F101" s="119" t="str">
        <f t="shared" si="149"/>
        <v>Natural Ventilation</v>
      </c>
      <c r="G101" s="119" t="str">
        <f t="shared" si="149"/>
        <v>Natural Ventilation</v>
      </c>
      <c r="H101" s="119" t="str">
        <f t="shared" si="149"/>
        <v>Natural Ventilation</v>
      </c>
      <c r="I101" s="119" t="str">
        <f t="shared" si="149"/>
        <v>MVHR</v>
      </c>
      <c r="J101" s="119" t="str">
        <f t="shared" si="149"/>
        <v>MVHR</v>
      </c>
      <c r="K101" s="119" t="str">
        <f t="shared" si="149"/>
        <v>MVHR</v>
      </c>
      <c r="L101" s="119" t="str">
        <f t="shared" si="149"/>
        <v>MVHR</v>
      </c>
      <c r="M101" s="119" t="str">
        <f t="shared" si="149"/>
        <v>MVHR</v>
      </c>
      <c r="N101" s="119" t="str">
        <f t="shared" si="149"/>
        <v>MVHR</v>
      </c>
      <c r="O101" s="119" t="str">
        <f t="shared" si="149"/>
        <v>MVHR</v>
      </c>
      <c r="P101" s="119" t="str">
        <f t="shared" si="149"/>
        <v>MVHR</v>
      </c>
      <c r="Q101" s="119" t="str">
        <f t="shared" si="149"/>
        <v>MVHR</v>
      </c>
      <c r="R101" s="119" t="str">
        <f t="shared" si="149"/>
        <v>MVHR</v>
      </c>
      <c r="S101" s="119" t="str">
        <f t="shared" si="149"/>
        <v>Natural Ventilation</v>
      </c>
      <c r="T101" s="119" t="str">
        <f t="shared" si="149"/>
        <v>Natural Ventilation</v>
      </c>
      <c r="V101" s="151"/>
      <c r="AO101" s="130" t="s">
        <v>613</v>
      </c>
      <c r="AP101" s="82" t="e" cm="1">
        <f t="array" ref="AP101">AP62-MIN(IF(ISNUMBER($AP$58:$BE$58),$AP$58:$BE$58))</f>
        <v>#VALUE!</v>
      </c>
      <c r="AQ101" s="82" t="e" cm="1">
        <f t="array" ref="AQ101">AQ62-MIN(IF(ISNUMBER($AP$58:$BE$58),$AP$58:$BE$58))</f>
        <v>#VALUE!</v>
      </c>
      <c r="AR101" s="82" cm="1">
        <f t="array" ref="AR101">AR62-MIN(IF(ISNUMBER($AP$58:$BE$58),$AP$58:$BE$58))</f>
        <v>0</v>
      </c>
      <c r="AS101" s="82" cm="1">
        <f t="array" ref="AS101">AS62-MIN(IF(ISNUMBER($AP$58:$BE$58),$AP$58:$BE$58))</f>
        <v>10151.353233876376</v>
      </c>
      <c r="AT101" s="82" cm="1">
        <f t="array" ref="AT101">AT62-MIN(IF(ISNUMBER($AP$58:$BE$58),$AP$58:$BE$58))</f>
        <v>3373.1999999999825</v>
      </c>
      <c r="AU101" s="82" t="e" cm="1">
        <f t="array" ref="AU101">AU62-MIN(IF(ISNUMBER($AP$58:$BE$58),$AP$58:$BE$58))</f>
        <v>#VALUE!</v>
      </c>
      <c r="AV101" s="82" cm="1">
        <f t="array" ref="AV101">AV62-MIN(IF(ISNUMBER($AP$58:$BE$58),$AP$58:$BE$58))</f>
        <v>1521.3999999999942</v>
      </c>
      <c r="AW101" s="82" cm="1">
        <f t="array" ref="AW101">AW62-MIN(IF(ISNUMBER($AP$58:$BE$58),$AP$58:$BE$58))</f>
        <v>9917.3573122162052</v>
      </c>
      <c r="AX101" s="82" cm="1">
        <f t="array" ref="AX101">AX62-MIN(IF(ISNUMBER($AP$58:$BE$58),$AP$58:$BE$58))</f>
        <v>3212.2999999999884</v>
      </c>
      <c r="AY101" s="82" cm="1">
        <f t="array" ref="AY101">AY62-MIN(IF(ISNUMBER($AP$58:$BE$58),$AP$58:$BE$58))</f>
        <v>10779.176525407514</v>
      </c>
      <c r="AZ101" s="82" cm="1">
        <f t="array" ref="AZ101">AZ62-MIN(IF(ISNUMBER($AP$58:$BE$58),$AP$58:$BE$58))</f>
        <v>5253.1999999999825</v>
      </c>
      <c r="BA101" s="82" cm="1">
        <f t="array" ref="BA101">BA62-MIN(IF(ISNUMBER($AP$58:$BE$58),$AP$58:$BE$58))</f>
        <v>9559.4234446783666</v>
      </c>
      <c r="BB101" s="82" cm="1">
        <f t="array" ref="BB101">BB62-MIN(IF(ISNUMBER($AP$58:$BE$58),$AP$58:$BE$58))</f>
        <v>5254.1999999999825</v>
      </c>
      <c r="BC101" s="82" cm="1">
        <f t="array" ref="BC101">BC62-MIN(IF(ISNUMBER($AP$58:$BE$58),$AP$58:$BE$58))</f>
        <v>8667.9909880109626</v>
      </c>
      <c r="BD101" s="82" cm="1">
        <f t="array" ref="BD101">BD62-MIN(IF(ISNUMBER($AP$58:$BE$58),$AP$58:$BE$58))</f>
        <v>6194</v>
      </c>
      <c r="BE101" s="82" cm="1">
        <f t="array" ref="BE101">BE62-MIN(IF(ISNUMBER($AP$58:$BE$58),$AP$58:$BE$58))</f>
        <v>3370.1999999999825</v>
      </c>
      <c r="BF101" s="82" cm="1">
        <f t="array" ref="BF101">BF62-MIN(IF(ISNUMBER($AP$58:$BF$58),$AP$58:$BF$58))</f>
        <v>0</v>
      </c>
    </row>
    <row r="102" spans="2:58">
      <c r="B102" s="41" t="s">
        <v>723</v>
      </c>
      <c r="C102" s="146"/>
      <c r="AO102" s="130" t="s">
        <v>614</v>
      </c>
      <c r="AP102" s="82" t="e" cm="1">
        <f t="array" ref="AP102">AP63-MIN(IF(ISNUMBER($AP$58:$BE$58),$AP$58:$BE$58))</f>
        <v>#VALUE!</v>
      </c>
      <c r="AQ102" s="82" t="e" cm="1">
        <f t="array" ref="AQ102">AQ63-MIN(IF(ISNUMBER($AP$58:$BE$58),$AP$58:$BE$58))</f>
        <v>#VALUE!</v>
      </c>
      <c r="AR102" s="82" cm="1">
        <f t="array" ref="AR102">AR63-MIN(IF(ISNUMBER($AP$58:$BE$58),$AP$58:$BE$58))</f>
        <v>0</v>
      </c>
      <c r="AS102" s="82" t="e" cm="1">
        <f t="array" ref="AS102">AS63-MIN(IF(ISNUMBER($AP$58:$BE$58),$AP$58:$BE$58))</f>
        <v>#VALUE!</v>
      </c>
      <c r="AT102" s="82" cm="1">
        <f t="array" ref="AT102">AT63-MIN(IF(ISNUMBER($AP$58:$BE$58),$AP$58:$BE$58))</f>
        <v>3373.1999999999825</v>
      </c>
      <c r="AU102" s="82" t="e" cm="1">
        <f t="array" ref="AU102">AU63-MIN(IF(ISNUMBER($AP$58:$BE$58),$AP$58:$BE$58))</f>
        <v>#VALUE!</v>
      </c>
      <c r="AV102" s="82" cm="1">
        <f t="array" ref="AV102">AV63-MIN(IF(ISNUMBER($AP$58:$BE$58),$AP$58:$BE$58))</f>
        <v>1521.3999999999942</v>
      </c>
      <c r="AW102" s="82" t="e" cm="1">
        <f t="array" ref="AW102">AW63-MIN(IF(ISNUMBER($AP$58:$BE$58),$AP$58:$BE$58))</f>
        <v>#VALUE!</v>
      </c>
      <c r="AX102" s="82" cm="1">
        <f t="array" ref="AX102">AX63-MIN(IF(ISNUMBER($AP$58:$BE$58),$AP$58:$BE$58))</f>
        <v>3212.2999999999884</v>
      </c>
      <c r="AY102" s="82" cm="1">
        <f t="array" ref="AY102">AY63-MIN(IF(ISNUMBER($AP$58:$BE$58),$AP$58:$BE$58))</f>
        <v>11908.318985452584</v>
      </c>
      <c r="AZ102" s="82" cm="1">
        <f t="array" ref="AZ102">AZ63-MIN(IF(ISNUMBER($AP$58:$BE$58),$AP$58:$BE$58))</f>
        <v>5253.1999999999825</v>
      </c>
      <c r="BA102" s="82" cm="1">
        <f t="array" ref="BA102">BA63-MIN(IF(ISNUMBER($AP$58:$BE$58),$AP$58:$BE$58))</f>
        <v>10688.565904723422</v>
      </c>
      <c r="BB102" s="82" cm="1">
        <f t="array" ref="BB102">BB63-MIN(IF(ISNUMBER($AP$58:$BE$58),$AP$58:$BE$58))</f>
        <v>5254.1999999999825</v>
      </c>
      <c r="BC102" s="82" cm="1">
        <f t="array" ref="BC102">BC63-MIN(IF(ISNUMBER($AP$58:$BE$58),$AP$58:$BE$58))</f>
        <v>10432.125938065146</v>
      </c>
      <c r="BD102" s="82" cm="1">
        <f t="array" ref="BD102">BD63-MIN(IF(ISNUMBER($AP$58:$BE$58),$AP$58:$BE$58))</f>
        <v>6194</v>
      </c>
      <c r="BE102" s="82" cm="1">
        <f t="array" ref="BE102">BE63-MIN(IF(ISNUMBER($AP$58:$BE$58),$AP$58:$BE$58))</f>
        <v>3370.1999999999825</v>
      </c>
      <c r="BF102" s="82" cm="1">
        <f t="array" ref="BF102">BF63-MIN(IF(ISNUMBER($AP$58:$BF$58),$AP$58:$BF$58))</f>
        <v>0</v>
      </c>
    </row>
    <row r="103" spans="2:58">
      <c r="B103" s="71" t="s">
        <v>621</v>
      </c>
      <c r="C103" s="146"/>
      <c r="D103" s="50">
        <v>1</v>
      </c>
      <c r="E103" s="50">
        <v>1</v>
      </c>
      <c r="F103" s="50">
        <v>1</v>
      </c>
      <c r="G103" s="50">
        <v>1</v>
      </c>
      <c r="H103" s="50">
        <v>1</v>
      </c>
      <c r="I103" s="50">
        <v>1</v>
      </c>
      <c r="J103" s="50">
        <v>1</v>
      </c>
      <c r="K103" s="50">
        <v>1</v>
      </c>
      <c r="L103" s="50">
        <v>1</v>
      </c>
      <c r="M103" s="50">
        <v>1</v>
      </c>
      <c r="N103" s="50">
        <v>1</v>
      </c>
      <c r="O103" s="50">
        <v>1</v>
      </c>
      <c r="P103" s="50">
        <v>1</v>
      </c>
      <c r="Q103" s="50">
        <v>1</v>
      </c>
      <c r="R103" s="50">
        <v>1</v>
      </c>
      <c r="S103" s="50">
        <v>1</v>
      </c>
      <c r="T103" s="50">
        <v>0</v>
      </c>
      <c r="AO103" s="130" t="s">
        <v>615</v>
      </c>
      <c r="AP103" s="82" t="e" cm="1">
        <f t="array" ref="AP103">AP64-MIN(IF(ISNUMBER($AP$58:$BE$58),$AP$58:$BE$58))</f>
        <v>#VALUE!</v>
      </c>
      <c r="AQ103" s="82" t="e" cm="1">
        <f t="array" ref="AQ103">AQ64-MIN(IF(ISNUMBER($AP$58:$BE$58),$AP$58:$BE$58))</f>
        <v>#VALUE!</v>
      </c>
      <c r="AR103" s="82" cm="1">
        <f t="array" ref="AR103">AR64-MIN(IF(ISNUMBER($AP$58:$BE$58),$AP$58:$BE$58))</f>
        <v>3356.7589009638905</v>
      </c>
      <c r="AS103" s="82" t="e" cm="1">
        <f t="array" ref="AS103">AS64-MIN(IF(ISNUMBER($AP$58:$BE$58),$AP$58:$BE$58))</f>
        <v>#VALUE!</v>
      </c>
      <c r="AT103" s="82" cm="1">
        <f t="array" ref="AT103">AT64-MIN(IF(ISNUMBER($AP$58:$BE$58),$AP$58:$BE$58))</f>
        <v>6545.6247123979847</v>
      </c>
      <c r="AU103" s="82" t="e" cm="1">
        <f t="array" ref="AU103">AU64-MIN(IF(ISNUMBER($AP$58:$BE$58),$AP$58:$BE$58))</f>
        <v>#VALUE!</v>
      </c>
      <c r="AV103" s="82" cm="1">
        <f t="array" ref="AV103">AV64-MIN(IF(ISNUMBER($AP$58:$BE$58),$AP$58:$BE$58))</f>
        <v>6535.6976307166187</v>
      </c>
      <c r="AW103" s="82" t="e" cm="1">
        <f t="array" ref="AW103">AW64-MIN(IF(ISNUMBER($AP$58:$BE$58),$AP$58:$BE$58))</f>
        <v>#VALUE!</v>
      </c>
      <c r="AX103" s="82" cm="1">
        <f t="array" ref="AX103">AX64-MIN(IF(ISNUMBER($AP$58:$BE$58),$AP$58:$BE$58))</f>
        <v>8010.9662718555046</v>
      </c>
      <c r="AY103" s="82" t="e" cm="1">
        <f t="array" ref="AY103">AY64-MIN(IF(ISNUMBER($AP$58:$BE$58),$AP$58:$BE$58))</f>
        <v>#VALUE!</v>
      </c>
      <c r="AZ103" s="82" cm="1">
        <f t="array" ref="AZ103">AZ64-MIN(IF(ISNUMBER($AP$58:$BE$58),$AP$58:$BE$58))</f>
        <v>9850.8610710566863</v>
      </c>
      <c r="BA103" s="82" t="e" cm="1">
        <f t="array" ref="BA103">BA64-MIN(IF(ISNUMBER($AP$58:$BE$58),$AP$58:$BE$58))</f>
        <v>#VALUE!</v>
      </c>
      <c r="BB103" s="82" cm="1">
        <f t="array" ref="BB103">BB64-MIN(IF(ISNUMBER($AP$58:$BE$58),$AP$58:$BE$58))</f>
        <v>8748.5009470955847</v>
      </c>
      <c r="BC103" s="82" t="e" cm="1">
        <f t="array" ref="BC103">BC64-MIN(IF(ISNUMBER($AP$58:$BE$58),$AP$58:$BE$58))</f>
        <v>#VALUE!</v>
      </c>
      <c r="BD103" s="82" cm="1">
        <f t="array" ref="BD103">BD64-MIN(IF(ISNUMBER($AP$58:$BE$58),$AP$58:$BE$58))</f>
        <v>9577.0661657803576</v>
      </c>
      <c r="BE103" s="82" cm="1">
        <f t="array" ref="BE103">BE64-MIN(IF(ISNUMBER($AP$58:$BE$58),$AP$58:$BE$58))</f>
        <v>6637.7977420867246</v>
      </c>
      <c r="BF103" s="82" cm="1">
        <f t="array" ref="BF103">BF64-MIN(IF(ISNUMBER($AP$58:$BF$58),$AP$58:$BF$58))</f>
        <v>3339.4348909738474</v>
      </c>
    </row>
    <row r="104" spans="2:58">
      <c r="B104" s="71" t="s">
        <v>600</v>
      </c>
      <c r="C104" s="146"/>
      <c r="D104" s="50">
        <v>0</v>
      </c>
      <c r="E104" s="50">
        <v>0</v>
      </c>
      <c r="F104" s="50">
        <v>0</v>
      </c>
      <c r="G104" s="50">
        <v>1</v>
      </c>
      <c r="H104" s="50">
        <v>1</v>
      </c>
      <c r="I104" s="50">
        <v>1</v>
      </c>
      <c r="J104" s="50">
        <v>1</v>
      </c>
      <c r="K104" s="50">
        <v>1</v>
      </c>
      <c r="L104" s="50">
        <v>1</v>
      </c>
      <c r="M104" s="50">
        <v>1</v>
      </c>
      <c r="N104" s="50">
        <v>1</v>
      </c>
      <c r="O104" s="50">
        <v>1</v>
      </c>
      <c r="P104" s="50">
        <v>1</v>
      </c>
      <c r="Q104" s="50">
        <v>1</v>
      </c>
      <c r="R104" s="50">
        <v>1</v>
      </c>
      <c r="S104" s="50">
        <f>IF($L$86&lt;$G$86,1,0)</f>
        <v>0</v>
      </c>
      <c r="T104" s="50">
        <v>0</v>
      </c>
      <c r="AO104" s="133" t="s">
        <v>668</v>
      </c>
      <c r="AP104" s="82"/>
      <c r="AQ104" s="82"/>
      <c r="AR104" s="82"/>
      <c r="AS104" s="82"/>
      <c r="AT104" s="82"/>
      <c r="AU104" s="82"/>
      <c r="AV104" s="82"/>
      <c r="AW104" s="82"/>
      <c r="AX104" s="82"/>
      <c r="AY104" s="82"/>
      <c r="AZ104" s="82"/>
      <c r="BA104" s="82"/>
      <c r="BB104" s="82"/>
      <c r="BC104" s="82"/>
      <c r="BD104" s="82"/>
      <c r="BE104" s="82"/>
      <c r="BF104" s="82"/>
    </row>
    <row r="105" spans="2:58">
      <c r="B105" s="71" t="s">
        <v>601</v>
      </c>
      <c r="C105" s="146"/>
      <c r="D105" s="50">
        <v>0</v>
      </c>
      <c r="E105" s="50">
        <v>0</v>
      </c>
      <c r="F105" s="50">
        <v>0</v>
      </c>
      <c r="G105" s="50">
        <v>0</v>
      </c>
      <c r="H105" s="50">
        <v>0</v>
      </c>
      <c r="I105" s="50">
        <v>0</v>
      </c>
      <c r="J105" s="50">
        <v>0</v>
      </c>
      <c r="K105" s="50">
        <v>1</v>
      </c>
      <c r="L105" s="50">
        <v>1</v>
      </c>
      <c r="M105" s="50">
        <v>1</v>
      </c>
      <c r="N105" s="50">
        <v>1</v>
      </c>
      <c r="O105" s="50">
        <v>1</v>
      </c>
      <c r="P105" s="50">
        <v>1</v>
      </c>
      <c r="Q105" s="50">
        <v>1</v>
      </c>
      <c r="R105" s="50">
        <v>1</v>
      </c>
      <c r="S105" s="50">
        <f>IF($L$86&lt;$H$86,1,0)</f>
        <v>0</v>
      </c>
      <c r="T105" s="50">
        <v>0</v>
      </c>
      <c r="AO105" s="133"/>
      <c r="AP105" s="82"/>
      <c r="AQ105" s="82"/>
      <c r="AR105" s="82"/>
      <c r="AS105" s="82"/>
      <c r="AT105" s="82"/>
      <c r="AU105" s="82"/>
      <c r="AV105" s="82"/>
      <c r="AW105" s="82"/>
      <c r="AX105" s="82"/>
      <c r="AY105" s="82"/>
      <c r="AZ105" s="82"/>
      <c r="BA105" s="82"/>
      <c r="BB105" s="82"/>
      <c r="BC105" s="82"/>
      <c r="BD105" s="82"/>
      <c r="BE105" s="82"/>
      <c r="BF105" s="82"/>
    </row>
    <row r="106" spans="2:58">
      <c r="B106" s="71" t="s">
        <v>602</v>
      </c>
      <c r="C106" s="146"/>
      <c r="D106" s="50">
        <v>0</v>
      </c>
      <c r="E106" s="50">
        <v>0</v>
      </c>
      <c r="F106" s="50">
        <v>0</v>
      </c>
      <c r="G106" s="50">
        <v>0</v>
      </c>
      <c r="H106" s="50">
        <v>0</v>
      </c>
      <c r="I106" s="50">
        <v>0</v>
      </c>
      <c r="J106" s="50">
        <v>0</v>
      </c>
      <c r="K106" s="50">
        <v>0</v>
      </c>
      <c r="L106" s="50">
        <v>0</v>
      </c>
      <c r="M106" s="50">
        <v>1</v>
      </c>
      <c r="N106" s="50">
        <v>1</v>
      </c>
      <c r="O106" s="50">
        <v>1</v>
      </c>
      <c r="P106" s="50">
        <v>1</v>
      </c>
      <c r="Q106" s="50">
        <v>1</v>
      </c>
      <c r="R106" s="50">
        <v>1</v>
      </c>
      <c r="S106" s="50">
        <f>IF($L$86&lt;$I$86,1,0)</f>
        <v>0</v>
      </c>
      <c r="T106" s="50">
        <v>0</v>
      </c>
      <c r="AO106" s="130" t="s">
        <v>609</v>
      </c>
      <c r="AP106" s="82" t="e" cm="1">
        <f t="array" ref="AP106">AP66-MIN(IF(ISNUMBER($AP$66:$BE$66),$AP$66:$BE$66))</f>
        <v>#VALUE!</v>
      </c>
      <c r="AQ106" s="82" t="e" cm="1">
        <f t="array" ref="AQ106">AQ66-MIN(IF(ISNUMBER($AP$66:$BE$66),$AP$66:$BE$66))</f>
        <v>#VALUE!</v>
      </c>
      <c r="AR106" s="82" cm="1">
        <f t="array" ref="AR106">AR66-MIN(IF(ISNUMBER($AP$66:$BE$66),$AP$66:$BE$66))</f>
        <v>0</v>
      </c>
      <c r="AS106" s="82" t="e" cm="1">
        <f t="array" ref="AS106">AS66-MIN(IF(ISNUMBER($AP$66:$BE$66),$AP$66:$BE$66))</f>
        <v>#VALUE!</v>
      </c>
      <c r="AT106" s="82" cm="1">
        <f t="array" ref="AT106">AT66-MIN(IF(ISNUMBER($AP$66:$BE$66),$AP$66:$BE$66))</f>
        <v>2184.0388411228341</v>
      </c>
      <c r="AU106" s="82" t="e" cm="1">
        <f t="array" ref="AU106">AU66-MIN(IF(ISNUMBER($AP$66:$BE$66),$AP$66:$BE$66))</f>
        <v>#VALUE!</v>
      </c>
      <c r="AV106" s="82" cm="1">
        <f t="array" ref="AV106">AV66-MIN(IF(ISNUMBER($AP$66:$BE$66),$AP$66:$BE$66))</f>
        <v>1999.7125339724444</v>
      </c>
      <c r="AW106" s="82" t="e" cm="1">
        <f t="array" ref="AW106">AW66-MIN(IF(ISNUMBER($AP$66:$BE$66),$AP$66:$BE$66))</f>
        <v>#VALUE!</v>
      </c>
      <c r="AX106" s="82" cm="1">
        <f t="array" ref="AX106">AX66-MIN(IF(ISNUMBER($AP$66:$BE$66),$AP$66:$BE$66))</f>
        <v>3572.9954291391186</v>
      </c>
      <c r="AY106" s="82" t="e" cm="1">
        <f t="array" ref="AY106">AY66-MIN(IF(ISNUMBER($AP$66:$BE$66),$AP$66:$BE$66))</f>
        <v>#VALUE!</v>
      </c>
      <c r="AZ106" s="82" cm="1">
        <f t="array" ref="AZ106">AZ66-MIN(IF(ISNUMBER($AP$66:$BE$66),$AP$66:$BE$66))</f>
        <v>5504.2562287033943</v>
      </c>
      <c r="BA106" s="82" cm="1">
        <f t="array" ref="BA106">BA66-MIN(IF(ISNUMBER($AP$66:$BE$66),$AP$66:$BE$66))</f>
        <v>11171.18785224593</v>
      </c>
      <c r="BB106" s="82" cm="1">
        <f t="array" ref="BB106">BB66-MIN(IF(ISNUMBER($AP$66:$BE$66),$AP$66:$BE$66))</f>
        <v>5391.7420461316942</v>
      </c>
      <c r="BC106" s="82" cm="1">
        <f t="array" ref="BC106">BC66-MIN(IF(ISNUMBER($AP$66:$BE$66),$AP$66:$BE$66))</f>
        <v>10914.747885587654</v>
      </c>
      <c r="BD106" s="82" cm="1">
        <f t="array" ref="BD106">BD66-MIN(IF(ISNUMBER($AP$66:$BE$66),$AP$66:$BE$66))</f>
        <v>6220.3072648164671</v>
      </c>
      <c r="BE106" s="82" cm="1">
        <f t="array" ref="BE106">BE66-MIN(IF(ISNUMBER($AP$66:$BE$66),$AP$66:$BE$66))</f>
        <v>2181.0388411228341</v>
      </c>
      <c r="BF106" s="82" cm="1">
        <f t="array" ref="BF106">BF66-MIN(IF(ISNUMBER($AP$66:$BF$66),$AP$66:$BF$66))</f>
        <v>0</v>
      </c>
    </row>
    <row r="107" spans="2:58">
      <c r="B107" s="71" t="s">
        <v>603</v>
      </c>
      <c r="C107" s="146"/>
      <c r="D107" s="50">
        <v>0</v>
      </c>
      <c r="E107" s="50">
        <v>0</v>
      </c>
      <c r="F107" s="50">
        <v>0</v>
      </c>
      <c r="G107" s="50">
        <v>0</v>
      </c>
      <c r="H107" s="50">
        <v>0</v>
      </c>
      <c r="I107" s="50">
        <v>0</v>
      </c>
      <c r="J107" s="50">
        <v>0</v>
      </c>
      <c r="K107" s="50">
        <v>0</v>
      </c>
      <c r="L107" s="50">
        <v>0</v>
      </c>
      <c r="M107" s="50">
        <v>0</v>
      </c>
      <c r="N107" s="50">
        <v>0</v>
      </c>
      <c r="O107" s="50">
        <v>1</v>
      </c>
      <c r="P107" s="50">
        <v>1</v>
      </c>
      <c r="Q107" s="50">
        <v>1</v>
      </c>
      <c r="R107" s="50">
        <v>1</v>
      </c>
      <c r="S107" s="50">
        <f>IF($L$86&lt;$J$86,1,0)</f>
        <v>0</v>
      </c>
      <c r="T107" s="50">
        <v>0</v>
      </c>
      <c r="AO107" s="130" t="s">
        <v>610</v>
      </c>
      <c r="AP107" s="82" t="e" cm="1">
        <f t="array" ref="AP107">AP67-MIN(IF(ISNUMBER($AP$66:$BE$66),$AP$66:$BE$66))</f>
        <v>#VALUE!</v>
      </c>
      <c r="AQ107" s="82" t="e" cm="1">
        <f t="array" ref="AQ107">AQ67-MIN(IF(ISNUMBER($AP$66:$BE$66),$AP$66:$BE$66))</f>
        <v>#VALUE!</v>
      </c>
      <c r="AR107" s="82" cm="1">
        <f t="array" ref="AR107">AR67-MIN(IF(ISNUMBER($AP$66:$BE$66),$AP$66:$BE$66))</f>
        <v>216.75977420868003</v>
      </c>
      <c r="AS107" s="82" t="e" cm="1">
        <f t="array" ref="AS107">AS67-MIN(IF(ISNUMBER($AP$66:$BE$66),$AP$66:$BE$66))</f>
        <v>#VALUE!</v>
      </c>
      <c r="AT107" s="82" cm="1">
        <f t="array" ref="AT107">AT67-MIN(IF(ISNUMBER($AP$66:$BE$66),$AP$66:$BE$66))</f>
        <v>3405.6255856427742</v>
      </c>
      <c r="AU107" s="82" t="e" cm="1">
        <f t="array" ref="AU107">AU67-MIN(IF(ISNUMBER($AP$66:$BE$66),$AP$66:$BE$66))</f>
        <v>#VALUE!</v>
      </c>
      <c r="AV107" s="82" cm="1">
        <f t="array" ref="AV107">AV67-MIN(IF(ISNUMBER($AP$66:$BE$66),$AP$66:$BE$66))</f>
        <v>2216.4723081811244</v>
      </c>
      <c r="AW107" s="82" t="e" cm="1">
        <f t="array" ref="AW107">AW67-MIN(IF(ISNUMBER($AP$66:$BE$66),$AP$66:$BE$66))</f>
        <v>#VALUE!</v>
      </c>
      <c r="AX107" s="82" cm="1">
        <f t="array" ref="AX107">AX67-MIN(IF(ISNUMBER($AP$66:$BE$66),$AP$66:$BE$66))</f>
        <v>3789.7552033477841</v>
      </c>
      <c r="AY107" s="82" t="e" cm="1">
        <f t="array" ref="AY107">AY67-MIN(IF(ISNUMBER($AP$66:$BE$66),$AP$66:$BE$66))</f>
        <v>#VALUE!</v>
      </c>
      <c r="AZ107" s="82" cm="1">
        <f t="array" ref="AZ107">AZ67-MIN(IF(ISNUMBER($AP$66:$BE$66),$AP$66:$BE$66))</f>
        <v>5721.0160029120598</v>
      </c>
      <c r="BA107" s="82" t="e" cm="1">
        <f t="array" ref="BA107">BA67-MIN(IF(ISNUMBER($AP$66:$BE$66),$AP$66:$BE$66))</f>
        <v>#VALUE!</v>
      </c>
      <c r="BB107" s="82" cm="1">
        <f t="array" ref="BB107">BB67-MIN(IF(ISNUMBER($AP$66:$BE$66),$AP$66:$BE$66))</f>
        <v>5608.5018203403743</v>
      </c>
      <c r="BC107" s="82" cm="1">
        <f t="array" ref="BC107">BC67-MIN(IF(ISNUMBER($AP$66:$BE$66),$AP$66:$BE$66))</f>
        <v>11312.14080497023</v>
      </c>
      <c r="BD107" s="82" cm="1">
        <f t="array" ref="BD107">BD67-MIN(IF(ISNUMBER($AP$66:$BE$66),$AP$66:$BE$66))</f>
        <v>6437.0670390251471</v>
      </c>
      <c r="BE107" s="82" cm="1">
        <f t="array" ref="BE107">BE67-MIN(IF(ISNUMBER($AP$66:$BE$66),$AP$66:$BE$66))</f>
        <v>3497.7986153315142</v>
      </c>
      <c r="BF107" s="82" cm="1">
        <f t="array" ref="BF107">BF67-MIN(IF(ISNUMBER($AP$66:$BF$66),$AP$66:$BF$66))</f>
        <v>216.75977420868003</v>
      </c>
    </row>
    <row r="108" spans="2:58">
      <c r="B108" s="71" t="s">
        <v>604</v>
      </c>
      <c r="C108" s="146"/>
      <c r="D108" s="50">
        <v>0</v>
      </c>
      <c r="E108" s="50">
        <v>0</v>
      </c>
      <c r="F108" s="50">
        <v>0</v>
      </c>
      <c r="G108" s="50">
        <v>0</v>
      </c>
      <c r="H108" s="50">
        <v>0</v>
      </c>
      <c r="I108" s="50">
        <v>0</v>
      </c>
      <c r="J108" s="50">
        <v>0</v>
      </c>
      <c r="K108" s="50">
        <v>0</v>
      </c>
      <c r="L108" s="50">
        <v>0</v>
      </c>
      <c r="M108" s="50">
        <v>0</v>
      </c>
      <c r="N108" s="50">
        <v>0</v>
      </c>
      <c r="O108" s="50">
        <v>0</v>
      </c>
      <c r="P108" s="50">
        <v>0</v>
      </c>
      <c r="Q108" s="50">
        <v>1</v>
      </c>
      <c r="R108" s="50">
        <v>1</v>
      </c>
      <c r="S108" s="50">
        <f>IF($L$86&lt;$K$86,1,0)</f>
        <v>0</v>
      </c>
      <c r="T108" s="50">
        <v>0</v>
      </c>
      <c r="AO108" s="130" t="s">
        <v>611</v>
      </c>
      <c r="AP108" s="82" t="e" cm="1">
        <f t="array" ref="AP108">AP68-MIN(IF(ISNUMBER($AP$66:$BE$66),$AP$66:$BE$66))</f>
        <v>#VALUE!</v>
      </c>
      <c r="AQ108" s="82" t="e" cm="1">
        <f t="array" ref="AQ108">AQ68-MIN(IF(ISNUMBER($AP$66:$BE$66),$AP$66:$BE$66))</f>
        <v>#VALUE!</v>
      </c>
      <c r="AR108" s="82" cm="1">
        <f t="array" ref="AR108">AR68-MIN(IF(ISNUMBER($AP$66:$BE$66),$AP$66:$BE$66))</f>
        <v>433.5195484173455</v>
      </c>
      <c r="AS108" s="82" t="e" cm="1">
        <f t="array" ref="AS108">AS68-MIN(IF(ISNUMBER($AP$66:$BE$66),$AP$66:$BE$66))</f>
        <v>#VALUE!</v>
      </c>
      <c r="AT108" s="82" cm="1">
        <f t="array" ref="AT108">AT68-MIN(IF(ISNUMBER($AP$66:$BE$66),$AP$66:$BE$66))</f>
        <v>3622.3853598514543</v>
      </c>
      <c r="AU108" s="82" t="e" cm="1">
        <f t="array" ref="AU108">AU68-MIN(IF(ISNUMBER($AP$66:$BE$66),$AP$66:$BE$66))</f>
        <v>#VALUE!</v>
      </c>
      <c r="AV108" s="82" cm="1">
        <f t="array" ref="AV108">AV68-MIN(IF(ISNUMBER($AP$66:$BE$66),$AP$66:$BE$66))</f>
        <v>2433.2320823897899</v>
      </c>
      <c r="AW108" s="82" t="e" cm="1">
        <f t="array" ref="AW108">AW68-MIN(IF(ISNUMBER($AP$66:$BE$66),$AP$66:$BE$66))</f>
        <v>#VALUE!</v>
      </c>
      <c r="AX108" s="82" cm="1">
        <f t="array" ref="AX108">AX68-MIN(IF(ISNUMBER($AP$66:$BE$66),$AP$66:$BE$66))</f>
        <v>4006.5149775564641</v>
      </c>
      <c r="AY108" s="82" t="e" cm="1">
        <f t="array" ref="AY108">AY68-MIN(IF(ISNUMBER($AP$66:$BE$66),$AP$66:$BE$66))</f>
        <v>#VALUE!</v>
      </c>
      <c r="AZ108" s="82" cm="1">
        <f t="array" ref="AZ108">AZ68-MIN(IF(ISNUMBER($AP$66:$BE$66),$AP$66:$BE$66))</f>
        <v>5937.7757771207398</v>
      </c>
      <c r="BA108" s="82" t="e" cm="1">
        <f t="array" ref="BA108">BA68-MIN(IF(ISNUMBER($AP$66:$BE$66),$AP$66:$BE$66))</f>
        <v>#VALUE!</v>
      </c>
      <c r="BB108" s="82" cm="1">
        <f t="array" ref="BB108">BB68-MIN(IF(ISNUMBER($AP$66:$BE$66),$AP$66:$BE$66))</f>
        <v>5825.2615945490397</v>
      </c>
      <c r="BC108" s="82" cm="1">
        <f t="array" ref="BC108">BC68-MIN(IF(ISNUMBER($AP$66:$BE$66),$AP$66:$BE$66))</f>
        <v>11709.53372435279</v>
      </c>
      <c r="BD108" s="82" cm="1">
        <f t="array" ref="BD108">BD68-MIN(IF(ISNUMBER($AP$66:$BE$66),$AP$66:$BE$66))</f>
        <v>6653.8268132338271</v>
      </c>
      <c r="BE108" s="82" cm="1">
        <f t="array" ref="BE108">BE68-MIN(IF(ISNUMBER($AP$66:$BE$66),$AP$66:$BE$66))</f>
        <v>3714.5583895401796</v>
      </c>
      <c r="BF108" s="82" cm="1">
        <f t="array" ref="BF108">BF68-MIN(IF(ISNUMBER($AP$66:$BF$66),$AP$66:$BF$66))</f>
        <v>433.5195484173455</v>
      </c>
    </row>
    <row r="109" spans="2:58">
      <c r="B109" s="71" t="s">
        <v>791</v>
      </c>
      <c r="C109" s="146"/>
      <c r="D109" s="50">
        <v>0</v>
      </c>
      <c r="E109" s="50">
        <v>0</v>
      </c>
      <c r="F109" s="50">
        <v>0</v>
      </c>
      <c r="G109" s="50">
        <v>0</v>
      </c>
      <c r="H109" s="50">
        <v>0</v>
      </c>
      <c r="I109" s="50">
        <v>0</v>
      </c>
      <c r="J109" s="50">
        <v>0</v>
      </c>
      <c r="K109" s="50">
        <v>0</v>
      </c>
      <c r="L109" s="50">
        <v>0</v>
      </c>
      <c r="M109" s="50">
        <v>0</v>
      </c>
      <c r="N109" s="50">
        <v>0</v>
      </c>
      <c r="O109" s="50">
        <v>0</v>
      </c>
      <c r="P109" s="50">
        <v>0</v>
      </c>
      <c r="Q109" s="50">
        <v>0</v>
      </c>
      <c r="R109" s="50">
        <v>0</v>
      </c>
      <c r="S109" s="50">
        <v>0</v>
      </c>
      <c r="T109" s="50">
        <v>1</v>
      </c>
      <c r="AO109" s="130" t="s">
        <v>612</v>
      </c>
      <c r="AP109" s="82" t="e" cm="1">
        <f t="array" ref="AP109">AP69-MIN(IF(ISNUMBER($AP$66:$BE$66),$AP$66:$BE$66))</f>
        <v>#VALUE!</v>
      </c>
      <c r="AQ109" s="82" t="e" cm="1">
        <f t="array" ref="AQ109">AQ69-MIN(IF(ISNUMBER($AP$66:$BE$66),$AP$66:$BE$66))</f>
        <v>#VALUE!</v>
      </c>
      <c r="AR109" s="82" cm="1">
        <f t="array" ref="AR109">AR69-MIN(IF(ISNUMBER($AP$66:$BE$66),$AP$66:$BE$66))</f>
        <v>650.27932262602553</v>
      </c>
      <c r="AS109" s="82" t="e" cm="1">
        <f t="array" ref="AS109">AS69-MIN(IF(ISNUMBER($AP$66:$BE$66),$AP$66:$BE$66))</f>
        <v>#VALUE!</v>
      </c>
      <c r="AT109" s="82" cm="1">
        <f t="array" ref="AT109">AT69-MIN(IF(ISNUMBER($AP$66:$BE$66),$AP$66:$BE$66))</f>
        <v>3839.1451340601197</v>
      </c>
      <c r="AU109" s="82" t="e" cm="1">
        <f t="array" ref="AU109">AU69-MIN(IF(ISNUMBER($AP$66:$BE$66),$AP$66:$BE$66))</f>
        <v>#VALUE!</v>
      </c>
      <c r="AV109" s="82" cm="1">
        <f t="array" ref="AV109">AV69-MIN(IF(ISNUMBER($AP$66:$BE$66),$AP$66:$BE$66))</f>
        <v>2649.9918565984699</v>
      </c>
      <c r="AW109" s="82" t="e" cm="1">
        <f t="array" ref="AW109">AW69-MIN(IF(ISNUMBER($AP$66:$BE$66),$AP$66:$BE$66))</f>
        <v>#VALUE!</v>
      </c>
      <c r="AX109" s="82" cm="1">
        <f t="array" ref="AX109">AX69-MIN(IF(ISNUMBER($AP$66:$BE$66),$AP$66:$BE$66))</f>
        <v>4223.2747517651296</v>
      </c>
      <c r="AY109" s="82" t="e" cm="1">
        <f t="array" ref="AY109">AY69-MIN(IF(ISNUMBER($AP$66:$BE$66),$AP$66:$BE$66))</f>
        <v>#VALUE!</v>
      </c>
      <c r="AZ109" s="82" cm="1">
        <f t="array" ref="AZ109">AZ69-MIN(IF(ISNUMBER($AP$66:$BE$66),$AP$66:$BE$66))</f>
        <v>6154.5355513294198</v>
      </c>
      <c r="BA109" s="82" t="e" cm="1">
        <f t="array" ref="BA109">BA69-MIN(IF(ISNUMBER($AP$66:$BE$66),$AP$66:$BE$66))</f>
        <v>#VALUE!</v>
      </c>
      <c r="BB109" s="82" cm="1">
        <f t="array" ref="BB109">BB69-MIN(IF(ISNUMBER($AP$66:$BE$66),$AP$66:$BE$66))</f>
        <v>6042.0213687577198</v>
      </c>
      <c r="BC109" s="82" cm="1">
        <f t="array" ref="BC109">BC69-MIN(IF(ISNUMBER($AP$66:$BE$66),$AP$66:$BE$66))</f>
        <v>12106.926643735365</v>
      </c>
      <c r="BD109" s="82" cm="1">
        <f t="array" ref="BD109">BD69-MIN(IF(ISNUMBER($AP$66:$BE$66),$AP$66:$BE$66))</f>
        <v>6870.5865874424926</v>
      </c>
      <c r="BE109" s="82" cm="1">
        <f t="array" ref="BE109">BE69-MIN(IF(ISNUMBER($AP$66:$BE$66),$AP$66:$BE$66))</f>
        <v>3931.3181637488597</v>
      </c>
      <c r="BF109" s="82" cm="1">
        <f t="array" ref="BF109">BF69-MIN(IF(ISNUMBER($AP$66:$BF$66),$AP$66:$BF$66))</f>
        <v>650.27932262602553</v>
      </c>
    </row>
    <row r="110" spans="2:58">
      <c r="B110" s="41" t="s">
        <v>724</v>
      </c>
      <c r="C110" s="146"/>
      <c r="AO110" s="130" t="s">
        <v>613</v>
      </c>
      <c r="AP110" s="82" t="e" cm="1">
        <f t="array" ref="AP110">AP70-MIN(IF(ISNUMBER($AP$66:$BE$66),$AP$66:$BE$66))</f>
        <v>#VALUE!</v>
      </c>
      <c r="AQ110" s="82" t="e" cm="1">
        <f t="array" ref="AQ110">AQ70-MIN(IF(ISNUMBER($AP$66:$BE$66),$AP$66:$BE$66))</f>
        <v>#VALUE!</v>
      </c>
      <c r="AR110" s="82" cm="1">
        <f t="array" ref="AR110">AR70-MIN(IF(ISNUMBER($AP$66:$BE$66),$AP$66:$BE$66))</f>
        <v>867.03909683469101</v>
      </c>
      <c r="AS110" s="82" t="e" cm="1">
        <f t="array" ref="AS110">AS70-MIN(IF(ISNUMBER($AP$66:$BE$66),$AP$66:$BE$66))</f>
        <v>#VALUE!</v>
      </c>
      <c r="AT110" s="82" cm="1">
        <f t="array" ref="AT110">AT70-MIN(IF(ISNUMBER($AP$66:$BE$66),$AP$66:$BE$66))</f>
        <v>4055.9049082687998</v>
      </c>
      <c r="AU110" s="82" t="e" cm="1">
        <f t="array" ref="AU110">AU70-MIN(IF(ISNUMBER($AP$66:$BE$66),$AP$66:$BE$66))</f>
        <v>#VALUE!</v>
      </c>
      <c r="AV110" s="82" cm="1">
        <f t="array" ref="AV110">AV70-MIN(IF(ISNUMBER($AP$66:$BE$66),$AP$66:$BE$66))</f>
        <v>2866.7516308071354</v>
      </c>
      <c r="AW110" s="82" t="e" cm="1">
        <f t="array" ref="AW110">AW70-MIN(IF(ISNUMBER($AP$66:$BE$66),$AP$66:$BE$66))</f>
        <v>#VALUE!</v>
      </c>
      <c r="AX110" s="82" cm="1">
        <f t="array" ref="AX110">AX70-MIN(IF(ISNUMBER($AP$66:$BE$66),$AP$66:$BE$66))</f>
        <v>4440.0345259738097</v>
      </c>
      <c r="AY110" s="82" t="e" cm="1">
        <f t="array" ref="AY110">AY70-MIN(IF(ISNUMBER($AP$66:$BE$66),$AP$66:$BE$66))</f>
        <v>#VALUE!</v>
      </c>
      <c r="AZ110" s="82" cm="1">
        <f t="array" ref="AZ110">AZ70-MIN(IF(ISNUMBER($AP$66:$BE$66),$AP$66:$BE$66))</f>
        <v>6371.2953255380853</v>
      </c>
      <c r="BA110" s="82" t="e" cm="1">
        <f t="array" ref="BA110">BA70-MIN(IF(ISNUMBER($AP$66:$BE$66),$AP$66:$BE$66))</f>
        <v>#VALUE!</v>
      </c>
      <c r="BB110" s="82" cm="1">
        <f t="array" ref="BB110">BB70-MIN(IF(ISNUMBER($AP$66:$BE$66),$AP$66:$BE$66))</f>
        <v>6258.7811429663852</v>
      </c>
      <c r="BC110" s="82" t="e" cm="1">
        <f t="array" ref="BC110">BC70-MIN(IF(ISNUMBER($AP$66:$BE$66),$AP$66:$BE$66))</f>
        <v>#VALUE!</v>
      </c>
      <c r="BD110" s="82" cm="1">
        <f t="array" ref="BD110">BD70-MIN(IF(ISNUMBER($AP$66:$BE$66),$AP$66:$BE$66))</f>
        <v>7087.3463616511726</v>
      </c>
      <c r="BE110" s="82" cm="1">
        <f t="array" ref="BE110">BE70-MIN(IF(ISNUMBER($AP$66:$BE$66),$AP$66:$BE$66))</f>
        <v>4148.0779379575251</v>
      </c>
      <c r="BF110" s="82" cm="1">
        <f t="array" ref="BF110">BF70-MIN(IF(ISNUMBER($AP$66:$BF$66),$AP$66:$BF$66))</f>
        <v>867.03909683470556</v>
      </c>
    </row>
    <row r="111" spans="2:58">
      <c r="B111" s="71" t="s">
        <v>606</v>
      </c>
      <c r="C111" s="146"/>
      <c r="D111" s="50">
        <v>1</v>
      </c>
      <c r="E111" s="50">
        <v>1</v>
      </c>
      <c r="F111" s="50">
        <v>1</v>
      </c>
      <c r="G111" s="50">
        <v>1</v>
      </c>
      <c r="H111" s="50">
        <v>1</v>
      </c>
      <c r="I111" s="50">
        <v>1</v>
      </c>
      <c r="J111" s="50">
        <v>1</v>
      </c>
      <c r="K111" s="50">
        <v>1</v>
      </c>
      <c r="L111" s="50">
        <v>1</v>
      </c>
      <c r="M111" s="50">
        <v>1</v>
      </c>
      <c r="N111" s="50">
        <v>1</v>
      </c>
      <c r="O111" s="50">
        <v>1</v>
      </c>
      <c r="P111" s="50">
        <v>1</v>
      </c>
      <c r="Q111" s="50">
        <v>1</v>
      </c>
      <c r="R111" s="50">
        <v>1</v>
      </c>
      <c r="S111" s="50">
        <v>1</v>
      </c>
      <c r="T111" s="50">
        <v>1</v>
      </c>
      <c r="AO111" s="130" t="s">
        <v>614</v>
      </c>
      <c r="AP111" s="82" t="e" cm="1">
        <f t="array" ref="AP111">AP71-MIN(IF(ISNUMBER($AP$66:$BE$66),$AP$66:$BE$66))</f>
        <v>#VALUE!</v>
      </c>
      <c r="AQ111" s="82" t="e" cm="1">
        <f t="array" ref="AQ111">AQ71-MIN(IF(ISNUMBER($AP$66:$BE$66),$AP$66:$BE$66))</f>
        <v>#VALUE!</v>
      </c>
      <c r="AR111" s="82" cm="1">
        <f t="array" ref="AR111">AR71-MIN(IF(ISNUMBER($AP$66:$BE$66),$AP$66:$BE$66))</f>
        <v>1083.798871043371</v>
      </c>
      <c r="AS111" s="82" t="e" cm="1">
        <f t="array" ref="AS111">AS71-MIN(IF(ISNUMBER($AP$66:$BE$66),$AP$66:$BE$66))</f>
        <v>#VALUE!</v>
      </c>
      <c r="AT111" s="82" cm="1">
        <f t="array" ref="AT111">AT71-MIN(IF(ISNUMBER($AP$66:$BE$66),$AP$66:$BE$66))</f>
        <v>4272.6646824774798</v>
      </c>
      <c r="AU111" s="82" t="e" cm="1">
        <f t="array" ref="AU111">AU71-MIN(IF(ISNUMBER($AP$66:$BE$66),$AP$66:$BE$66))</f>
        <v>#VALUE!</v>
      </c>
      <c r="AV111" s="82" cm="1">
        <f t="array" ref="AV111">AV71-MIN(IF(ISNUMBER($AP$66:$BE$66),$AP$66:$BE$66))</f>
        <v>3083.5114050158154</v>
      </c>
      <c r="AW111" s="82" t="e" cm="1">
        <f t="array" ref="AW111">AW71-MIN(IF(ISNUMBER($AP$66:$BE$66),$AP$66:$BE$66))</f>
        <v>#VALUE!</v>
      </c>
      <c r="AX111" s="82" cm="1">
        <f t="array" ref="AX111">AX71-MIN(IF(ISNUMBER($AP$66:$BE$66),$AP$66:$BE$66))</f>
        <v>4656.7943001824751</v>
      </c>
      <c r="AY111" s="82" t="e" cm="1">
        <f t="array" ref="AY111">AY71-MIN(IF(ISNUMBER($AP$66:$BE$66),$AP$66:$BE$66))</f>
        <v>#VALUE!</v>
      </c>
      <c r="AZ111" s="82" cm="1">
        <f t="array" ref="AZ111">AZ71-MIN(IF(ISNUMBER($AP$66:$BE$66),$AP$66:$BE$66))</f>
        <v>6588.0550997467653</v>
      </c>
      <c r="BA111" s="82" t="e" cm="1">
        <f t="array" ref="BA111">BA71-MIN(IF(ISNUMBER($AP$66:$BE$66),$AP$66:$BE$66))</f>
        <v>#VALUE!</v>
      </c>
      <c r="BB111" s="82" cm="1">
        <f t="array" ref="BB111">BB71-MIN(IF(ISNUMBER($AP$66:$BE$66),$AP$66:$BE$66))</f>
        <v>6475.5409171750653</v>
      </c>
      <c r="BC111" s="82" t="e" cm="1">
        <f t="array" ref="BC111">BC71-MIN(IF(ISNUMBER($AP$66:$BE$66),$AP$66:$BE$66))</f>
        <v>#VALUE!</v>
      </c>
      <c r="BD111" s="82" cm="1">
        <f t="array" ref="BD111">BD71-MIN(IF(ISNUMBER($AP$66:$BE$66),$AP$66:$BE$66))</f>
        <v>7304.1061358598381</v>
      </c>
      <c r="BE111" s="82" cm="1">
        <f t="array" ref="BE111">BE71-MIN(IF(ISNUMBER($AP$66:$BE$66),$AP$66:$BE$66))</f>
        <v>4364.8377121662052</v>
      </c>
      <c r="BF111" s="82" cm="1">
        <f t="array" ref="BF111">BF71-MIN(IF(ISNUMBER($AP$66:$BF$66),$AP$66:$BF$66))</f>
        <v>1083.798871043371</v>
      </c>
    </row>
    <row r="112" spans="2:58">
      <c r="B112" s="71" t="s">
        <v>607</v>
      </c>
      <c r="C112" s="146"/>
      <c r="D112" s="50">
        <f>IF(D100="Gas",0,1)</f>
        <v>0</v>
      </c>
      <c r="E112" s="50">
        <f t="shared" ref="E112:T112" si="150">IF(E100="Gas",0,1)</f>
        <v>0</v>
      </c>
      <c r="F112" s="50">
        <f t="shared" si="150"/>
        <v>1</v>
      </c>
      <c r="G112" s="50">
        <f t="shared" si="150"/>
        <v>0</v>
      </c>
      <c r="H112" s="50">
        <f t="shared" si="150"/>
        <v>1</v>
      </c>
      <c r="I112" s="50">
        <f t="shared" si="150"/>
        <v>0</v>
      </c>
      <c r="J112" s="50">
        <f t="shared" si="150"/>
        <v>1</v>
      </c>
      <c r="K112" s="50">
        <f t="shared" si="150"/>
        <v>0</v>
      </c>
      <c r="L112" s="50">
        <f t="shared" si="150"/>
        <v>1</v>
      </c>
      <c r="M112" s="50">
        <f t="shared" si="150"/>
        <v>0</v>
      </c>
      <c r="N112" s="50">
        <f t="shared" si="150"/>
        <v>1</v>
      </c>
      <c r="O112" s="50">
        <f t="shared" si="150"/>
        <v>0</v>
      </c>
      <c r="P112" s="50">
        <f t="shared" si="150"/>
        <v>1</v>
      </c>
      <c r="Q112" s="50">
        <f t="shared" si="150"/>
        <v>0</v>
      </c>
      <c r="R112" s="50">
        <f t="shared" si="150"/>
        <v>1</v>
      </c>
      <c r="S112" s="50">
        <f t="shared" si="150"/>
        <v>1</v>
      </c>
      <c r="T112" s="50">
        <f t="shared" si="150"/>
        <v>1</v>
      </c>
      <c r="AO112" s="130" t="s">
        <v>615</v>
      </c>
      <c r="AP112" s="82" t="e" cm="1">
        <f t="array" ref="AP112">AP72-MIN(IF(ISNUMBER($AP$66:$BE$66),$AP$66:$BE$66))</f>
        <v>#VALUE!</v>
      </c>
      <c r="AQ112" s="82" t="e" cm="1">
        <f t="array" ref="AQ112">AQ72-MIN(IF(ISNUMBER($AP$66:$BE$66),$AP$66:$BE$66))</f>
        <v>#VALUE!</v>
      </c>
      <c r="AR112" s="82" cm="1">
        <f t="array" ref="AR112">AR72-MIN(IF(ISNUMBER($AP$66:$BE$66),$AP$66:$BE$66))</f>
        <v>2167.5977420867421</v>
      </c>
      <c r="AS112" s="82" t="e" cm="1">
        <f t="array" ref="AS112">AS72-MIN(IF(ISNUMBER($AP$66:$BE$66),$AP$66:$BE$66))</f>
        <v>#VALUE!</v>
      </c>
      <c r="AT112" s="82" cm="1">
        <f t="array" ref="AT112">AT72-MIN(IF(ISNUMBER($AP$66:$BE$66),$AP$66:$BE$66))</f>
        <v>5356.4635535208363</v>
      </c>
      <c r="AU112" s="82" t="e" cm="1">
        <f t="array" ref="AU112">AU72-MIN(IF(ISNUMBER($AP$66:$BE$66),$AP$66:$BE$66))</f>
        <v>#VALUE!</v>
      </c>
      <c r="AV112" s="82" cm="1">
        <f t="array" ref="AV112">AV72-MIN(IF(ISNUMBER($AP$66:$BE$66),$AP$66:$BE$66))</f>
        <v>5346.5364718394703</v>
      </c>
      <c r="AW112" s="82" t="e" cm="1">
        <f t="array" ref="AW112">AW72-MIN(IF(ISNUMBER($AP$66:$BE$66),$AP$66:$BE$66))</f>
        <v>#VALUE!</v>
      </c>
      <c r="AX112" s="82" cm="1">
        <f t="array" ref="AX112">AX72-MIN(IF(ISNUMBER($AP$66:$BE$66),$AP$66:$BE$66))</f>
        <v>6821.8051129783562</v>
      </c>
      <c r="AY112" s="82" t="e" cm="1">
        <f t="array" ref="AY112">AY72-MIN(IF(ISNUMBER($AP$66:$BE$66),$AP$66:$BE$66))</f>
        <v>#VALUE!</v>
      </c>
      <c r="AZ112" s="82" cm="1">
        <f t="array" ref="AZ112">AZ72-MIN(IF(ISNUMBER($AP$66:$BE$66),$AP$66:$BE$66))</f>
        <v>8661.6999121795379</v>
      </c>
      <c r="BA112" s="82" t="e" cm="1">
        <f t="array" ref="BA112">BA72-MIN(IF(ISNUMBER($AP$66:$BE$66),$AP$66:$BE$66))</f>
        <v>#VALUE!</v>
      </c>
      <c r="BB112" s="82" cm="1">
        <f t="array" ref="BB112">BB72-MIN(IF(ISNUMBER($AP$66:$BE$66),$AP$66:$BE$66))</f>
        <v>7559.3397882184363</v>
      </c>
      <c r="BC112" s="82" t="e" cm="1">
        <f t="array" ref="BC112">BC72-MIN(IF(ISNUMBER($AP$66:$BE$66),$AP$66:$BE$66))</f>
        <v>#VALUE!</v>
      </c>
      <c r="BD112" s="82" cm="1">
        <f t="array" ref="BD112">BD72-MIN(IF(ISNUMBER($AP$66:$BE$66),$AP$66:$BE$66))</f>
        <v>8387.9050069032091</v>
      </c>
      <c r="BE112" s="82" cm="1">
        <f t="array" ref="BE112">BE72-MIN(IF(ISNUMBER($AP$66:$BE$66),$AP$66:$BE$66))</f>
        <v>5448.6365832095762</v>
      </c>
      <c r="BF112" s="82" cm="1">
        <f t="array" ref="BF112">BF72-MIN(IF(ISNUMBER($AP$66:$BF$66),$AP$66:$BF$66))</f>
        <v>2167.5977420867421</v>
      </c>
    </row>
    <row r="113" spans="2:20">
      <c r="B113" s="41" t="s">
        <v>725</v>
      </c>
      <c r="C113" s="146"/>
    </row>
    <row r="114" spans="2:20">
      <c r="B114" s="76" t="s">
        <v>618</v>
      </c>
      <c r="C114" t="str">
        <f>INPUT!C19</f>
        <v>No specific fabric standard</v>
      </c>
      <c r="D114" s="50">
        <f>VLOOKUP($C$114,$B$103:$T$109,COLUMN(C114),FALSE)</f>
        <v>1</v>
      </c>
      <c r="E114" s="50">
        <f t="shared" ref="E114:T114" si="151">VLOOKUP($C$114,$B$103:$T$109,COLUMN(D114),FALSE)</f>
        <v>1</v>
      </c>
      <c r="F114" s="50">
        <f t="shared" si="151"/>
        <v>1</v>
      </c>
      <c r="G114" s="50">
        <f t="shared" si="151"/>
        <v>1</v>
      </c>
      <c r="H114" s="50">
        <f t="shared" si="151"/>
        <v>1</v>
      </c>
      <c r="I114" s="50">
        <f t="shared" si="151"/>
        <v>1</v>
      </c>
      <c r="J114" s="50">
        <f t="shared" si="151"/>
        <v>1</v>
      </c>
      <c r="K114" s="50">
        <f t="shared" si="151"/>
        <v>1</v>
      </c>
      <c r="L114" s="50">
        <f t="shared" si="151"/>
        <v>1</v>
      </c>
      <c r="M114" s="50">
        <f t="shared" si="151"/>
        <v>1</v>
      </c>
      <c r="N114" s="50">
        <f t="shared" si="151"/>
        <v>1</v>
      </c>
      <c r="O114" s="50">
        <f t="shared" si="151"/>
        <v>1</v>
      </c>
      <c r="P114" s="50">
        <f t="shared" si="151"/>
        <v>1</v>
      </c>
      <c r="Q114" s="50">
        <f t="shared" si="151"/>
        <v>1</v>
      </c>
      <c r="R114" s="50">
        <f t="shared" si="151"/>
        <v>1</v>
      </c>
      <c r="S114" s="50">
        <f t="shared" si="151"/>
        <v>1</v>
      </c>
      <c r="T114" s="50">
        <f t="shared" si="151"/>
        <v>0</v>
      </c>
    </row>
    <row r="115" spans="2:20">
      <c r="B115" s="76" t="s">
        <v>619</v>
      </c>
      <c r="C115" t="str">
        <f>INPUT!C20</f>
        <v>Gas Possible</v>
      </c>
      <c r="D115" s="50">
        <f>VLOOKUP($C$115,$B$111:$T$112,COLUMN(C115),FALSE)</f>
        <v>1</v>
      </c>
      <c r="E115" s="50">
        <f t="shared" ref="E115:T115" si="152">VLOOKUP($C$115,$B$111:$T$112,COLUMN(D115),FALSE)</f>
        <v>1</v>
      </c>
      <c r="F115" s="50">
        <f t="shared" si="152"/>
        <v>1</v>
      </c>
      <c r="G115" s="50">
        <f t="shared" si="152"/>
        <v>1</v>
      </c>
      <c r="H115" s="50">
        <f t="shared" si="152"/>
        <v>1</v>
      </c>
      <c r="I115" s="50">
        <f t="shared" si="152"/>
        <v>1</v>
      </c>
      <c r="J115" s="50">
        <f t="shared" si="152"/>
        <v>1</v>
      </c>
      <c r="K115" s="50">
        <f t="shared" si="152"/>
        <v>1</v>
      </c>
      <c r="L115" s="50">
        <f t="shared" si="152"/>
        <v>1</v>
      </c>
      <c r="M115" s="50">
        <f t="shared" si="152"/>
        <v>1</v>
      </c>
      <c r="N115" s="50">
        <f t="shared" si="152"/>
        <v>1</v>
      </c>
      <c r="O115" s="50">
        <f t="shared" si="152"/>
        <v>1</v>
      </c>
      <c r="P115" s="50">
        <f t="shared" si="152"/>
        <v>1</v>
      </c>
      <c r="Q115" s="50">
        <f t="shared" si="152"/>
        <v>1</v>
      </c>
      <c r="R115" s="50">
        <f t="shared" si="152"/>
        <v>1</v>
      </c>
      <c r="S115" s="50">
        <f t="shared" si="152"/>
        <v>1</v>
      </c>
      <c r="T115" s="50">
        <f t="shared" si="152"/>
        <v>1</v>
      </c>
    </row>
    <row r="116" spans="2:20">
      <c r="B116" s="76" t="s">
        <v>726</v>
      </c>
      <c r="C116" s="146"/>
      <c r="D116" s="50">
        <f>IF(AND(D114=1,D115=1),1,0)</f>
        <v>1</v>
      </c>
      <c r="E116" s="50">
        <f t="shared" ref="E116:T116" si="153">IF(AND(E114=1,E115=1),1,0)</f>
        <v>1</v>
      </c>
      <c r="F116" s="50">
        <f t="shared" si="153"/>
        <v>1</v>
      </c>
      <c r="G116" s="50">
        <f t="shared" si="153"/>
        <v>1</v>
      </c>
      <c r="H116" s="50">
        <f t="shared" si="153"/>
        <v>1</v>
      </c>
      <c r="I116" s="50">
        <f t="shared" si="153"/>
        <v>1</v>
      </c>
      <c r="J116" s="50">
        <f t="shared" si="153"/>
        <v>1</v>
      </c>
      <c r="K116" s="50">
        <f t="shared" si="153"/>
        <v>1</v>
      </c>
      <c r="L116" s="50">
        <f t="shared" si="153"/>
        <v>1</v>
      </c>
      <c r="M116" s="50">
        <f t="shared" si="153"/>
        <v>1</v>
      </c>
      <c r="N116" s="50">
        <f t="shared" si="153"/>
        <v>1</v>
      </c>
      <c r="O116" s="50">
        <f t="shared" si="153"/>
        <v>1</v>
      </c>
      <c r="P116" s="50">
        <f t="shared" si="153"/>
        <v>1</v>
      </c>
      <c r="Q116" s="50">
        <f t="shared" si="153"/>
        <v>1</v>
      </c>
      <c r="R116" s="50">
        <f t="shared" si="153"/>
        <v>1</v>
      </c>
      <c r="S116" s="50">
        <f t="shared" si="153"/>
        <v>1</v>
      </c>
      <c r="T116" s="50">
        <f t="shared" si="153"/>
        <v>0</v>
      </c>
    </row>
    <row r="117" spans="2:20">
      <c r="B117" s="41" t="s">
        <v>727</v>
      </c>
      <c r="C117" s="146"/>
    </row>
    <row r="118" spans="2:20">
      <c r="B118" s="71" t="s">
        <v>593</v>
      </c>
      <c r="C118" t="str">
        <f>INPUT!C18</f>
        <v>FHS</v>
      </c>
    </row>
    <row r="119" spans="2:20">
      <c r="B119" s="76" t="s">
        <v>620</v>
      </c>
      <c r="C119" t="str">
        <f>INPUT!C21</f>
        <v>Reduce Part L regulated: 30%</v>
      </c>
    </row>
    <row r="120" spans="2:20">
      <c r="B120" s="76" t="s">
        <v>728</v>
      </c>
      <c r="C120" s="11" t="s">
        <v>324</v>
      </c>
      <c r="D120" s="153" t="str">
        <f>IF($C$118="Part L 2021",VLOOKUP($C$119,$C$40:$T$46,COLUMN(D120)-2),VLOOKUP($C$119,$C$47:$T$53,COLUMN(D120)-2))</f>
        <v>Not Possible</v>
      </c>
      <c r="E120" s="153" t="str">
        <f t="shared" ref="E120:T120" si="154">IF($C$118="Part L 2021",VLOOKUP($C$119,$C$40:$T$46,COLUMN(E120)-2),VLOOKUP($C$119,$C$47:$T$53,COLUMN(E120)-2))</f>
        <v>Not Possible</v>
      </c>
      <c r="F120" s="153">
        <f t="shared" si="154"/>
        <v>650.27932262602553</v>
      </c>
      <c r="G120" s="153" t="str">
        <f t="shared" si="154"/>
        <v>Not Possible</v>
      </c>
      <c r="H120" s="153">
        <f t="shared" si="154"/>
        <v>3839.1451340601197</v>
      </c>
      <c r="I120" s="153" t="str">
        <f t="shared" si="154"/>
        <v>Not Possible</v>
      </c>
      <c r="J120" s="153">
        <f t="shared" si="154"/>
        <v>2649.9918565984699</v>
      </c>
      <c r="K120" s="153" t="str">
        <f t="shared" si="154"/>
        <v>Not Possible</v>
      </c>
      <c r="L120" s="153">
        <f t="shared" si="154"/>
        <v>4223.2747517651296</v>
      </c>
      <c r="M120" s="153" t="str">
        <f t="shared" si="154"/>
        <v>Not Possible</v>
      </c>
      <c r="N120" s="153">
        <f t="shared" si="154"/>
        <v>6154.5355513294198</v>
      </c>
      <c r="O120" s="153" t="str">
        <f t="shared" si="154"/>
        <v>Not Possible</v>
      </c>
      <c r="P120" s="153">
        <f t="shared" si="154"/>
        <v>6042.0213687577198</v>
      </c>
      <c r="Q120" s="153">
        <f t="shared" si="154"/>
        <v>12106.926643735365</v>
      </c>
      <c r="R120" s="153">
        <f t="shared" si="154"/>
        <v>6870.5865874424926</v>
      </c>
      <c r="S120" s="153">
        <f t="shared" si="154"/>
        <v>3931.3181637488597</v>
      </c>
      <c r="T120" s="153">
        <f t="shared" si="154"/>
        <v>650.27932262602553</v>
      </c>
    </row>
    <row r="121" spans="2:20">
      <c r="B121" s="76" t="s">
        <v>729</v>
      </c>
      <c r="C121" s="146"/>
      <c r="D121" s="153" t="str">
        <f>IF(D116=1,D120,"Not Possible")</f>
        <v>Not Possible</v>
      </c>
      <c r="E121" s="153" t="str">
        <f t="shared" ref="E121:T121" si="155">IF(E116=1,E120,"Not Possible")</f>
        <v>Not Possible</v>
      </c>
      <c r="F121" s="153">
        <f t="shared" si="155"/>
        <v>650.27932262602553</v>
      </c>
      <c r="G121" s="153" t="str">
        <f t="shared" si="155"/>
        <v>Not Possible</v>
      </c>
      <c r="H121" s="153">
        <f t="shared" si="155"/>
        <v>3839.1451340601197</v>
      </c>
      <c r="I121" s="153" t="str">
        <f t="shared" si="155"/>
        <v>Not Possible</v>
      </c>
      <c r="J121" s="153">
        <f t="shared" si="155"/>
        <v>2649.9918565984699</v>
      </c>
      <c r="K121" s="153" t="str">
        <f t="shared" si="155"/>
        <v>Not Possible</v>
      </c>
      <c r="L121" s="153">
        <f t="shared" si="155"/>
        <v>4223.2747517651296</v>
      </c>
      <c r="M121" s="153" t="str">
        <f t="shared" si="155"/>
        <v>Not Possible</v>
      </c>
      <c r="N121" s="153">
        <f t="shared" si="155"/>
        <v>6154.5355513294198</v>
      </c>
      <c r="O121" s="153" t="str">
        <f t="shared" si="155"/>
        <v>Not Possible</v>
      </c>
      <c r="P121" s="153">
        <f t="shared" si="155"/>
        <v>6042.0213687577198</v>
      </c>
      <c r="Q121" s="153">
        <f t="shared" si="155"/>
        <v>12106.926643735365</v>
      </c>
      <c r="R121" s="153">
        <f t="shared" si="155"/>
        <v>6870.5865874424926</v>
      </c>
      <c r="S121" s="153">
        <f t="shared" si="155"/>
        <v>3931.3181637488597</v>
      </c>
      <c r="T121" s="153" t="str">
        <f t="shared" si="155"/>
        <v>Not Possible</v>
      </c>
    </row>
    <row r="122" spans="2:20">
      <c r="B122" s="76" t="s">
        <v>730</v>
      </c>
      <c r="C122" s="154">
        <f>MIN(D121:T121)</f>
        <v>650.27932262602553</v>
      </c>
    </row>
    <row r="123" spans="2:20">
      <c r="B123" s="76" t="s">
        <v>734</v>
      </c>
      <c r="C123" s="155">
        <f>MATCH(C122,D121:T121,0)+3</f>
        <v>6</v>
      </c>
      <c r="G123" s="153"/>
    </row>
    <row r="124" spans="2:20">
      <c r="B124" s="76" t="s">
        <v>739</v>
      </c>
      <c r="C124" s="155">
        <f>IF(C118="Part L 2021",MATCH(C119,B58:B64,0)+57,MATCH(C119,B66:B72,0)+65)</f>
        <v>69</v>
      </c>
      <c r="G124" s="153"/>
    </row>
    <row r="125" spans="2:20">
      <c r="G125" s="153"/>
    </row>
    <row r="126" spans="2:20">
      <c r="B126" s="135" t="s">
        <v>733</v>
      </c>
      <c r="K126" s="153"/>
    </row>
    <row r="127" spans="2:20">
      <c r="B127" s="158" t="s">
        <v>770</v>
      </c>
      <c r="C127" s="147"/>
    </row>
    <row r="128" spans="2:20">
      <c r="B128" t="s">
        <v>618</v>
      </c>
      <c r="C128" s="8" t="str" cm="1">
        <f t="array" aca="1" ref="C128" ca="1">INDIRECT(ADDRESS(3,$C$123))</f>
        <v xml:space="preserve">Notional Building C&amp;B </v>
      </c>
    </row>
    <row r="129" spans="2:7">
      <c r="B129" t="s">
        <v>344</v>
      </c>
      <c r="C129" s="146" t="str" cm="1">
        <f t="array" aca="1" ref="C129" ca="1">INDIRECT(ADDRESS(4,$C$123))</f>
        <v>ASHP</v>
      </c>
    </row>
    <row r="130" spans="2:7">
      <c r="B130" t="s">
        <v>139</v>
      </c>
      <c r="C130" s="146" t="str" cm="1">
        <f t="array" aca="1" ref="C130" ca="1">INDIRECT(ADDRESS(5,$C$123))</f>
        <v>Natural Ventilation</v>
      </c>
    </row>
    <row r="131" spans="2:7" ht="43.2">
      <c r="C131" s="146" t="s">
        <v>743</v>
      </c>
      <c r="D131" s="50" t="s">
        <v>744</v>
      </c>
      <c r="E131" s="50" t="s">
        <v>745</v>
      </c>
    </row>
    <row r="132" spans="2:7">
      <c r="B132" t="s">
        <v>736</v>
      </c>
      <c r="C132" s="6" cm="1">
        <f t="array" aca="1" ref="C132" ca="1">INDIRECT(ADDRESS(33,$C$123))</f>
        <v>0</v>
      </c>
      <c r="D132" s="143">
        <f ca="1">C132*'C&amp;B'!$C$13</f>
        <v>0</v>
      </c>
      <c r="E132" s="143">
        <f ca="1">D132*Embodied!$C$23/1000</f>
        <v>0</v>
      </c>
    </row>
    <row r="133" spans="2:7">
      <c r="B133" t="s">
        <v>735</v>
      </c>
      <c r="C133" s="6" cm="1">
        <f t="array" aca="1" ref="C133" ca="1">INDIRECT(ADDRESS(34,$C$123))</f>
        <v>29.119603933247223</v>
      </c>
      <c r="D133" s="143">
        <f ca="1">C133*'C&amp;B'!$C$13</f>
        <v>3409.9056205832499</v>
      </c>
      <c r="E133" s="143">
        <f ca="1">D133*Embodied!$C$23/1000</f>
        <v>681.98112411664999</v>
      </c>
      <c r="G133" s="143"/>
    </row>
    <row r="134" spans="2:7">
      <c r="B134" t="s">
        <v>738</v>
      </c>
      <c r="C134" s="6" cm="1">
        <f t="array" aca="1" ref="C134" ca="1">INDIRECT(ADDRESS($C$124,$C$123))</f>
        <v>1.2324008025052862</v>
      </c>
      <c r="D134" s="143">
        <f ca="1">C134*'C&amp;B'!$C$13</f>
        <v>144.314133973369</v>
      </c>
      <c r="E134" s="143">
        <f ca="1">D134*Embodied!$C$23/1000</f>
        <v>28.862826794673797</v>
      </c>
    </row>
    <row r="135" spans="2:7">
      <c r="B135" t="s">
        <v>737</v>
      </c>
      <c r="C135" s="6">
        <f ca="1">C134*SAP!C143/'C&amp;B'!C13</f>
        <v>9.5412114889124062</v>
      </c>
      <c r="D135" s="143">
        <f ca="1">C135*'C&amp;B'!$C$13</f>
        <v>1117.2758653516428</v>
      </c>
      <c r="E135" s="143">
        <f ca="1">D135*Embodied!$C$23/1000</f>
        <v>223.45517307032856</v>
      </c>
    </row>
    <row r="136" spans="2:7">
      <c r="B136" t="s">
        <v>740</v>
      </c>
      <c r="C136" s="156">
        <f>D136/'C&amp;B'!C13</f>
        <v>5.5531966065416363</v>
      </c>
      <c r="D136" s="154">
        <f>C122</f>
        <v>650.27932262602553</v>
      </c>
      <c r="E136" s="153">
        <f>D136*Embodied!$C$23</f>
        <v>130055.86452520511</v>
      </c>
    </row>
    <row r="137" spans="2:7">
      <c r="C137" s="146"/>
    </row>
    <row r="138" spans="2:7">
      <c r="B138" s="1" t="s">
        <v>774</v>
      </c>
      <c r="C138" s="161"/>
    </row>
    <row r="139" spans="2:7" ht="43.2">
      <c r="C139" s="161" t="s">
        <v>743</v>
      </c>
      <c r="D139" s="50" t="s">
        <v>744</v>
      </c>
      <c r="E139" s="50" t="s">
        <v>745</v>
      </c>
    </row>
    <row r="140" spans="2:7">
      <c r="B140" t="s">
        <v>775</v>
      </c>
      <c r="C140" s="6" cm="1">
        <f t="array" aca="1" ref="C140" ca="1">INDIRECT(ADDRESS(29,$C$123))</f>
        <v>12.864705882352947</v>
      </c>
      <c r="D140" s="143">
        <f ca="1">C140*'C&amp;B'!$C$13</f>
        <v>1506.4570588235299</v>
      </c>
      <c r="E140" s="143">
        <f ca="1">D140*Embodied!$C$23/1000</f>
        <v>301.29141176470597</v>
      </c>
    </row>
    <row r="141" spans="2:7">
      <c r="B141" t="s">
        <v>776</v>
      </c>
      <c r="C141" s="6" cm="1">
        <f t="array" aca="1" ref="C141" ca="1">INDIRECT(ADDRESS(30,$C$123))</f>
        <v>8.0304347826086957</v>
      </c>
      <c r="D141" s="143">
        <f ca="1">C141*'C&amp;B'!$C$13</f>
        <v>940.36391304347819</v>
      </c>
      <c r="E141" s="143">
        <f ca="1">D141*Embodied!$C$23/1000</f>
        <v>188.07278260869566</v>
      </c>
    </row>
    <row r="142" spans="2:7">
      <c r="B142" t="s">
        <v>777</v>
      </c>
      <c r="C142" s="6">
        <f ca="1">SUM(C140:C141)</f>
        <v>20.895140664961644</v>
      </c>
      <c r="D142" s="143">
        <f ca="1">SUM(D140:D141)</f>
        <v>2446.8209718670082</v>
      </c>
      <c r="E142" s="143">
        <f ca="1">SUM(E140:E141)</f>
        <v>489.36419437340163</v>
      </c>
    </row>
    <row r="143" spans="2:7">
      <c r="B143" t="s">
        <v>778</v>
      </c>
      <c r="C143" s="6">
        <f ca="1">(C140*SAP!$C$13/SAP!$C$18)+(C141*SAP!$C$13/SAP!$C$19)</f>
        <v>6.5113312151281093</v>
      </c>
      <c r="D143" s="143">
        <f ca="1">C143*'C&amp;B'!$C$13</f>
        <v>762.47688529150162</v>
      </c>
      <c r="E143" s="143">
        <f ca="1">D143*Embodied!$C$23/1000</f>
        <v>152.49537705830033</v>
      </c>
    </row>
    <row r="145" spans="2:3">
      <c r="B145" s="1" t="s">
        <v>786</v>
      </c>
    </row>
    <row r="146" spans="2:3">
      <c r="B146" t="s">
        <v>787</v>
      </c>
    </row>
    <row r="147" spans="2:3">
      <c r="B147" t="s">
        <v>788</v>
      </c>
      <c r="C147" s="154" t="str">
        <f>IF(AND(C114="Bespoke",ISNUMBER(T121)),"Options Available",IF(SUM(D121:T121)=0,"Not Possible","Options Available"))</f>
        <v>Options Available</v>
      </c>
    </row>
  </sheetData>
  <pageMargins left="0.7" right="0.7" top="0.75" bottom="0.75" header="0.3" footer="0.3"/>
  <pageSetup paperSize="9" orientation="portrait" r:id="rId1"/>
  <ignoredErrors>
    <ignoredError sqref="G6"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H147"/>
  <sheetViews>
    <sheetView zoomScale="85" zoomScaleNormal="85" workbookViewId="0">
      <pane xSplit="2" ySplit="3" topLeftCell="C16" activePane="bottomRight" state="frozen"/>
      <selection activeCell="B3" sqref="B3"/>
      <selection pane="topRight" activeCell="B3" sqref="B3"/>
      <selection pane="bottomLeft" activeCell="B3" sqref="B3"/>
      <selection pane="bottomRight" activeCell="B3" sqref="B3"/>
    </sheetView>
  </sheetViews>
  <sheetFormatPr defaultRowHeight="14.4"/>
  <cols>
    <col min="1" max="1" width="7.21875" customWidth="1"/>
    <col min="2" max="2" width="44.77734375" customWidth="1"/>
    <col min="3" max="3" width="30.77734375" style="160" customWidth="1"/>
    <col min="4" max="19" width="12.21875" style="50" customWidth="1"/>
    <col min="20" max="20" width="12.21875" customWidth="1"/>
    <col min="22" max="22" width="28" style="11" customWidth="1"/>
    <col min="23" max="23" width="9.44140625" customWidth="1"/>
    <col min="41" max="41" width="37.77734375" customWidth="1"/>
  </cols>
  <sheetData>
    <row r="1" spans="2:58" ht="16.5" customHeight="1">
      <c r="C1" s="63" t="s">
        <v>381</v>
      </c>
      <c r="D1" s="52" t="s">
        <v>382</v>
      </c>
      <c r="E1" s="53" t="s">
        <v>383</v>
      </c>
      <c r="F1" s="54" t="s">
        <v>384</v>
      </c>
      <c r="G1" s="134" t="s">
        <v>678</v>
      </c>
      <c r="H1" s="55" t="s">
        <v>385</v>
      </c>
      <c r="X1" s="50"/>
      <c r="Y1" s="4"/>
    </row>
    <row r="2" spans="2:58">
      <c r="B2" s="1" t="s">
        <v>773</v>
      </c>
      <c r="D2" s="51" t="s">
        <v>618</v>
      </c>
      <c r="E2" s="51"/>
      <c r="T2" s="50"/>
      <c r="U2" s="51"/>
      <c r="V2" s="51" t="s">
        <v>522</v>
      </c>
    </row>
    <row r="3" spans="2:58" s="120" customFormat="1" ht="72">
      <c r="B3" s="115" t="s">
        <v>294</v>
      </c>
      <c r="C3" s="116" t="s">
        <v>336</v>
      </c>
      <c r="D3" s="117" t="s">
        <v>343</v>
      </c>
      <c r="E3" s="117" t="s">
        <v>721</v>
      </c>
      <c r="F3" s="117" t="s">
        <v>721</v>
      </c>
      <c r="G3" s="117" t="s">
        <v>600</v>
      </c>
      <c r="H3" s="117" t="s">
        <v>600</v>
      </c>
      <c r="I3" s="117" t="s">
        <v>600</v>
      </c>
      <c r="J3" s="117" t="s">
        <v>600</v>
      </c>
      <c r="K3" s="117" t="s">
        <v>601</v>
      </c>
      <c r="L3" s="117" t="s">
        <v>601</v>
      </c>
      <c r="M3" s="117" t="s">
        <v>602</v>
      </c>
      <c r="N3" s="117" t="s">
        <v>602</v>
      </c>
      <c r="O3" s="117" t="s">
        <v>603</v>
      </c>
      <c r="P3" s="117" t="s">
        <v>603</v>
      </c>
      <c r="Q3" s="117" t="s">
        <v>604</v>
      </c>
      <c r="R3" s="117" t="s">
        <v>604</v>
      </c>
      <c r="S3" s="117" t="s">
        <v>351</v>
      </c>
      <c r="T3" s="117" t="s">
        <v>791</v>
      </c>
      <c r="U3" s="119"/>
      <c r="V3" s="139" t="s">
        <v>16</v>
      </c>
      <c r="W3" s="117" t="s">
        <v>343</v>
      </c>
      <c r="X3" s="117" t="s">
        <v>435</v>
      </c>
      <c r="Y3" s="117" t="s">
        <v>436</v>
      </c>
      <c r="Z3" s="117" t="s">
        <v>437</v>
      </c>
      <c r="AA3" s="117" t="s">
        <v>438</v>
      </c>
      <c r="AB3" s="117" t="s">
        <v>439</v>
      </c>
      <c r="AC3" s="117" t="s">
        <v>440</v>
      </c>
      <c r="AD3" s="117" t="s">
        <v>441</v>
      </c>
      <c r="AE3" s="117" t="s">
        <v>442</v>
      </c>
      <c r="AF3" s="117" t="s">
        <v>443</v>
      </c>
      <c r="AG3" s="117" t="s">
        <v>444</v>
      </c>
      <c r="AH3" s="117" t="s">
        <v>445</v>
      </c>
      <c r="AI3" s="117" t="s">
        <v>446</v>
      </c>
      <c r="AJ3" s="117" t="s">
        <v>447</v>
      </c>
      <c r="AK3" s="117" t="s">
        <v>677</v>
      </c>
      <c r="AL3" s="117" t="s">
        <v>351</v>
      </c>
      <c r="AM3" s="117" t="s">
        <v>791</v>
      </c>
      <c r="AO3" s="139" t="s">
        <v>695</v>
      </c>
      <c r="AP3" s="117" t="s">
        <v>343</v>
      </c>
      <c r="AQ3" s="117" t="s">
        <v>435</v>
      </c>
      <c r="AR3" s="117" t="s">
        <v>436</v>
      </c>
      <c r="AS3" s="117" t="s">
        <v>437</v>
      </c>
      <c r="AT3" s="117" t="s">
        <v>438</v>
      </c>
      <c r="AU3" s="117" t="s">
        <v>439</v>
      </c>
      <c r="AV3" s="117" t="s">
        <v>440</v>
      </c>
      <c r="AW3" s="117" t="s">
        <v>441</v>
      </c>
      <c r="AX3" s="117" t="s">
        <v>442</v>
      </c>
      <c r="AY3" s="117" t="s">
        <v>443</v>
      </c>
      <c r="AZ3" s="117" t="s">
        <v>444</v>
      </c>
      <c r="BA3" s="117" t="s">
        <v>445</v>
      </c>
      <c r="BB3" s="117" t="s">
        <v>446</v>
      </c>
      <c r="BC3" s="117" t="s">
        <v>447</v>
      </c>
      <c r="BD3" s="117" t="s">
        <v>677</v>
      </c>
      <c r="BE3" s="117" t="s">
        <v>351</v>
      </c>
      <c r="BF3" s="117" t="s">
        <v>791</v>
      </c>
    </row>
    <row r="4" spans="2:58">
      <c r="C4" s="129" t="s">
        <v>345</v>
      </c>
      <c r="D4" s="52" t="s">
        <v>29</v>
      </c>
      <c r="E4" s="54" t="s">
        <v>29</v>
      </c>
      <c r="F4" s="54" t="s">
        <v>20</v>
      </c>
      <c r="G4" s="54" t="s">
        <v>29</v>
      </c>
      <c r="H4" s="54" t="s">
        <v>20</v>
      </c>
      <c r="I4" s="54" t="s">
        <v>29</v>
      </c>
      <c r="J4" s="54" t="s">
        <v>20</v>
      </c>
      <c r="K4" s="54" t="s">
        <v>29</v>
      </c>
      <c r="L4" s="54" t="s">
        <v>20</v>
      </c>
      <c r="M4" s="54" t="s">
        <v>29</v>
      </c>
      <c r="N4" s="54" t="s">
        <v>20</v>
      </c>
      <c r="O4" s="54" t="s">
        <v>29</v>
      </c>
      <c r="P4" s="54" t="s">
        <v>20</v>
      </c>
      <c r="Q4" s="54" t="s">
        <v>29</v>
      </c>
      <c r="R4" s="54" t="s">
        <v>20</v>
      </c>
      <c r="S4" s="52" t="s">
        <v>20</v>
      </c>
      <c r="T4" s="134" t="str">
        <f>INPUT!C34</f>
        <v>ASHP</v>
      </c>
      <c r="U4" s="50"/>
      <c r="V4" s="11" t="s">
        <v>699</v>
      </c>
      <c r="W4" s="50">
        <f>IF(D4="Gas",'C&amp;B'!$E$246,'C&amp;B'!$E$256)</f>
        <v>2562</v>
      </c>
      <c r="X4" s="50">
        <f>IF(E4="Gas",'C&amp;B'!$E$246,'C&amp;B'!$E$256)</f>
        <v>2562</v>
      </c>
      <c r="Y4" s="50">
        <f>IF(F4="Gas",'C&amp;B'!$E$246,'C&amp;B'!$E$256)</f>
        <v>3794</v>
      </c>
      <c r="Z4" s="50">
        <f>IF(G4="Gas",'C&amp;B'!$E$246,'C&amp;B'!$E$256)</f>
        <v>2562</v>
      </c>
      <c r="AA4" s="50">
        <f>IF(H4="Gas",'C&amp;B'!$E$246,'C&amp;B'!$E$256)</f>
        <v>3794</v>
      </c>
      <c r="AB4" s="50">
        <f>IF(I4="Gas",'C&amp;B'!$E$246,'C&amp;B'!$E$256)</f>
        <v>2562</v>
      </c>
      <c r="AC4" s="50">
        <f>IF(J4="Gas",'C&amp;B'!$E$246,'C&amp;B'!$E$256)</f>
        <v>3794</v>
      </c>
      <c r="AD4" s="50">
        <f>IF(K4="Gas",'C&amp;B'!$E$246,'C&amp;B'!$E$256)</f>
        <v>2562</v>
      </c>
      <c r="AE4" s="50">
        <f>IF(L4="Gas",'C&amp;B'!$E$246,'C&amp;B'!$E$256)</f>
        <v>3794</v>
      </c>
      <c r="AF4" s="50">
        <f>IF(M4="Gas",'C&amp;B'!$E$246,'C&amp;B'!$E$256)</f>
        <v>2562</v>
      </c>
      <c r="AG4" s="50">
        <f>IF(N4="Gas",'C&amp;B'!$E$246,'C&amp;B'!$E$256)</f>
        <v>3794</v>
      </c>
      <c r="AH4" s="50">
        <f>IF(O4="Gas",'C&amp;B'!$E$246,'C&amp;B'!$E$256)</f>
        <v>2562</v>
      </c>
      <c r="AI4" s="50">
        <f>IF(P4="Gas",'C&amp;B'!$E$246,'C&amp;B'!$E$256)</f>
        <v>3794</v>
      </c>
      <c r="AJ4" s="50">
        <f>IF(Q4="Gas",'C&amp;B'!$E$246,'C&amp;B'!$E$256)</f>
        <v>2562</v>
      </c>
      <c r="AK4" s="50">
        <f>IF(R4="Gas",'C&amp;B'!$E$246,'C&amp;B'!$E$256)</f>
        <v>3794</v>
      </c>
      <c r="AL4" s="50">
        <f>IF(S4="Gas",'C&amp;B'!$E$246,'C&amp;B'!$E$256)</f>
        <v>3794</v>
      </c>
      <c r="AM4" s="50">
        <f>IF(T4="Gas",'C&amp;B'!$E$246,'C&amp;B'!$E$256)</f>
        <v>3794</v>
      </c>
      <c r="AO4" s="160">
        <v>1</v>
      </c>
      <c r="AP4" s="14">
        <f t="shared" ref="AP4:BE6" si="0">$AO4*W4</f>
        <v>2562</v>
      </c>
      <c r="AQ4" s="14">
        <f t="shared" si="0"/>
        <v>2562</v>
      </c>
      <c r="AR4" s="14">
        <f t="shared" si="0"/>
        <v>3794</v>
      </c>
      <c r="AS4" s="14">
        <f t="shared" si="0"/>
        <v>2562</v>
      </c>
      <c r="AT4" s="14">
        <f t="shared" si="0"/>
        <v>3794</v>
      </c>
      <c r="AU4" s="14">
        <f t="shared" si="0"/>
        <v>2562</v>
      </c>
      <c r="AV4" s="14">
        <f t="shared" si="0"/>
        <v>3794</v>
      </c>
      <c r="AW4" s="14">
        <f t="shared" si="0"/>
        <v>2562</v>
      </c>
      <c r="AX4" s="14">
        <f t="shared" si="0"/>
        <v>3794</v>
      </c>
      <c r="AY4" s="14">
        <f t="shared" si="0"/>
        <v>2562</v>
      </c>
      <c r="AZ4" s="14">
        <f t="shared" si="0"/>
        <v>3794</v>
      </c>
      <c r="BA4" s="14">
        <f t="shared" si="0"/>
        <v>2562</v>
      </c>
      <c r="BB4" s="14">
        <f t="shared" si="0"/>
        <v>3794</v>
      </c>
      <c r="BC4" s="14">
        <f t="shared" si="0"/>
        <v>2562</v>
      </c>
      <c r="BD4" s="14">
        <f t="shared" si="0"/>
        <v>3794</v>
      </c>
      <c r="BE4" s="14">
        <f t="shared" si="0"/>
        <v>3794</v>
      </c>
      <c r="BF4" s="14">
        <f t="shared" ref="AQ4:BF19" si="1">$AO4*AM4</f>
        <v>3794</v>
      </c>
    </row>
    <row r="5" spans="2:58" s="4" customFormat="1">
      <c r="C5" s="129" t="s">
        <v>342</v>
      </c>
      <c r="D5" s="141" t="s">
        <v>688</v>
      </c>
      <c r="E5" s="140" t="s">
        <v>688</v>
      </c>
      <c r="F5" s="140" t="s">
        <v>688</v>
      </c>
      <c r="G5" s="140" t="s">
        <v>688</v>
      </c>
      <c r="H5" s="140" t="s">
        <v>688</v>
      </c>
      <c r="I5" s="140" t="s">
        <v>142</v>
      </c>
      <c r="J5" s="140" t="s">
        <v>142</v>
      </c>
      <c r="K5" s="140" t="s">
        <v>142</v>
      </c>
      <c r="L5" s="140" t="s">
        <v>142</v>
      </c>
      <c r="M5" s="140" t="s">
        <v>142</v>
      </c>
      <c r="N5" s="140" t="s">
        <v>142</v>
      </c>
      <c r="O5" s="140" t="s">
        <v>142</v>
      </c>
      <c r="P5" s="140" t="s">
        <v>142</v>
      </c>
      <c r="Q5" s="140" t="s">
        <v>142</v>
      </c>
      <c r="R5" s="140" t="s">
        <v>142</v>
      </c>
      <c r="S5" s="141" t="s">
        <v>688</v>
      </c>
      <c r="T5" s="142" t="str">
        <f>INPUT!C32</f>
        <v>Natural Ventilation</v>
      </c>
      <c r="U5" s="160"/>
      <c r="V5" s="11" t="s">
        <v>699</v>
      </c>
      <c r="W5" s="160">
        <f>IF(D5="Natural Ventilation",'C&amp;B'!$E$233,'C&amp;B'!$E$236+'C&amp;B'!$E$241)</f>
        <v>480</v>
      </c>
      <c r="X5" s="160">
        <f>IF(E5="Natural Ventilation",'C&amp;B'!$E$233,'C&amp;B'!$E$236+'C&amp;B'!$E$241)</f>
        <v>480</v>
      </c>
      <c r="Y5" s="160">
        <f>IF(F5="Natural Ventilation",'C&amp;B'!$E$233,'C&amp;B'!$E$236+'C&amp;B'!$E$241)</f>
        <v>480</v>
      </c>
      <c r="Z5" s="160">
        <f>IF(G5="Natural Ventilation",'C&amp;B'!$E$233,'C&amp;B'!$E$236+'C&amp;B'!$E$241)</f>
        <v>480</v>
      </c>
      <c r="AA5" s="160">
        <f>IF(H5="Natural Ventilation",'C&amp;B'!$E$233,'C&amp;B'!$E$236+'C&amp;B'!$E$241)</f>
        <v>480</v>
      </c>
      <c r="AB5" s="160">
        <f>IF(I5="Natural Ventilation",'C&amp;B'!$E$233,'C&amp;B'!$E$236+'C&amp;B'!$E$241)</f>
        <v>2210</v>
      </c>
      <c r="AC5" s="160">
        <f>IF(J5="Natural Ventilation",'C&amp;B'!$E$233,'C&amp;B'!$E$236+'C&amp;B'!$E$241)</f>
        <v>2210</v>
      </c>
      <c r="AD5" s="160">
        <f>IF(K5="Natural Ventilation",'C&amp;B'!$E$233,'C&amp;B'!$E$236+'C&amp;B'!$E$241)</f>
        <v>2210</v>
      </c>
      <c r="AE5" s="160">
        <f>IF(L5="Natural Ventilation",'C&amp;B'!$E$233,'C&amp;B'!$E$236+'C&amp;B'!$E$241)</f>
        <v>2210</v>
      </c>
      <c r="AF5" s="160">
        <f>IF(M5="Natural Ventilation",'C&amp;B'!$E$233,'C&amp;B'!$E$236+'C&amp;B'!$E$241)</f>
        <v>2210</v>
      </c>
      <c r="AG5" s="160">
        <f>IF(N5="Natural Ventilation",'C&amp;B'!$E$233,'C&amp;B'!$E$236+'C&amp;B'!$E$241)</f>
        <v>2210</v>
      </c>
      <c r="AH5" s="160">
        <f>IF(O5="Natural Ventilation",'C&amp;B'!$E$233,'C&amp;B'!$E$236+'C&amp;B'!$E$241)</f>
        <v>2210</v>
      </c>
      <c r="AI5" s="160">
        <f>IF(P5="Natural Ventilation",'C&amp;B'!$E$233,'C&amp;B'!$E$236+'C&amp;B'!$E$241)</f>
        <v>2210</v>
      </c>
      <c r="AJ5" s="160">
        <f>IF(Q5="Natural Ventilation",'C&amp;B'!$E$233,'C&amp;B'!$E$236+'C&amp;B'!$E$241)</f>
        <v>2210</v>
      </c>
      <c r="AK5" s="160">
        <f>IF(R5="Natural Ventilation",'C&amp;B'!$E$233,'C&amp;B'!$E$236+'C&amp;B'!$E$241)</f>
        <v>2210</v>
      </c>
      <c r="AL5" s="160">
        <f>IF(S5="Natural Ventilation",'C&amp;B'!$E$233,'C&amp;B'!$E$236+'C&amp;B'!$E$241)</f>
        <v>480</v>
      </c>
      <c r="AM5" s="160">
        <f>IF(T5="Natural Ventilation",'C&amp;B'!$E$233,'C&amp;B'!$E$236+'C&amp;B'!$E$241)</f>
        <v>480</v>
      </c>
      <c r="AO5" s="160">
        <v>1</v>
      </c>
      <c r="AP5" s="14">
        <f t="shared" si="0"/>
        <v>480</v>
      </c>
      <c r="AQ5" s="14">
        <f t="shared" si="0"/>
        <v>480</v>
      </c>
      <c r="AR5" s="14">
        <f t="shared" si="0"/>
        <v>480</v>
      </c>
      <c r="AS5" s="14">
        <f t="shared" si="0"/>
        <v>480</v>
      </c>
      <c r="AT5" s="14">
        <f t="shared" si="0"/>
        <v>480</v>
      </c>
      <c r="AU5" s="14">
        <f t="shared" si="0"/>
        <v>2210</v>
      </c>
      <c r="AV5" s="14">
        <f t="shared" si="0"/>
        <v>2210</v>
      </c>
      <c r="AW5" s="14">
        <f t="shared" si="0"/>
        <v>2210</v>
      </c>
      <c r="AX5" s="14">
        <f t="shared" si="0"/>
        <v>2210</v>
      </c>
      <c r="AY5" s="14">
        <f t="shared" si="0"/>
        <v>2210</v>
      </c>
      <c r="AZ5" s="14">
        <f t="shared" si="1"/>
        <v>2210</v>
      </c>
      <c r="BA5" s="14">
        <f t="shared" si="1"/>
        <v>2210</v>
      </c>
      <c r="BB5" s="14">
        <f t="shared" si="1"/>
        <v>2210</v>
      </c>
      <c r="BC5" s="14">
        <f t="shared" si="1"/>
        <v>2210</v>
      </c>
      <c r="BD5" s="14">
        <f t="shared" si="1"/>
        <v>2210</v>
      </c>
      <c r="BE5" s="14">
        <f t="shared" si="1"/>
        <v>480</v>
      </c>
      <c r="BF5" s="14">
        <f t="shared" si="1"/>
        <v>480</v>
      </c>
    </row>
    <row r="6" spans="2:58">
      <c r="B6" s="59" t="s">
        <v>337</v>
      </c>
      <c r="C6" s="129" t="s">
        <v>339</v>
      </c>
      <c r="D6" s="52">
        <v>0.18</v>
      </c>
      <c r="E6" s="53">
        <f>'C&amp;B'!D51</f>
        <v>0.18</v>
      </c>
      <c r="F6" s="53">
        <f>E6</f>
        <v>0.18</v>
      </c>
      <c r="G6" s="53">
        <f>'C&amp;B'!E51</f>
        <v>0.18</v>
      </c>
      <c r="H6" s="53">
        <f>G6</f>
        <v>0.18</v>
      </c>
      <c r="I6" s="53">
        <f>'C&amp;B'!F51</f>
        <v>0.18</v>
      </c>
      <c r="J6" s="53">
        <f>I6</f>
        <v>0.18</v>
      </c>
      <c r="K6" s="53">
        <f>'C&amp;B'!G51</f>
        <v>0.16</v>
      </c>
      <c r="L6" s="53">
        <f>K6</f>
        <v>0.16</v>
      </c>
      <c r="M6" s="53">
        <f>'C&amp;B'!H51</f>
        <v>0.15</v>
      </c>
      <c r="N6" s="53">
        <f>M6</f>
        <v>0.15</v>
      </c>
      <c r="O6" s="53">
        <f>'C&amp;B'!I51</f>
        <v>0.21</v>
      </c>
      <c r="P6" s="53">
        <f>O6</f>
        <v>0.21</v>
      </c>
      <c r="Q6" s="53">
        <f>'C&amp;B'!J51</f>
        <v>0.13</v>
      </c>
      <c r="R6" s="53">
        <f>Q6</f>
        <v>0.13</v>
      </c>
      <c r="S6" s="52">
        <v>0.15</v>
      </c>
      <c r="T6" s="134">
        <f>INPUT!C25</f>
        <v>0.18</v>
      </c>
      <c r="U6" s="50"/>
      <c r="V6" s="138" t="s">
        <v>694</v>
      </c>
      <c r="W6" s="50">
        <f>IF(ISNUMBER(D6),VLOOKUP(D6,'C&amp;B'!$C$178:$E$186,3,FALSE),0)</f>
        <v>221</v>
      </c>
      <c r="X6" s="50">
        <f>IF(ISNUMBER(E6),VLOOKUP(E6,'C&amp;B'!$C$178:$E$186,3,FALSE),0)</f>
        <v>221</v>
      </c>
      <c r="Y6" s="50">
        <f>IF(ISNUMBER(F6),VLOOKUP(F6,'C&amp;B'!$C$178:$E$186,3,FALSE),0)</f>
        <v>221</v>
      </c>
      <c r="Z6" s="50">
        <f>IF(ISNUMBER(G6),VLOOKUP(G6,'C&amp;B'!$C$178:$E$186,3,FALSE),0)</f>
        <v>221</v>
      </c>
      <c r="AA6" s="50">
        <f>IF(ISNUMBER(H6),VLOOKUP(H6,'C&amp;B'!$C$178:$E$186,3,FALSE),0)</f>
        <v>221</v>
      </c>
      <c r="AB6" s="50">
        <f>IF(ISNUMBER(I6),VLOOKUP(I6,'C&amp;B'!$C$178:$E$186,3,FALSE),0)</f>
        <v>221</v>
      </c>
      <c r="AC6" s="50">
        <f>IF(ISNUMBER(J6),VLOOKUP(J6,'C&amp;B'!$C$178:$E$186,3,FALSE),0)</f>
        <v>221</v>
      </c>
      <c r="AD6" s="50">
        <f>IF(ISNUMBER(K6),VLOOKUP(K6,'C&amp;B'!$C$178:$E$186,3,FALSE),0)</f>
        <v>221</v>
      </c>
      <c r="AE6" s="50">
        <f>IF(ISNUMBER(L6),VLOOKUP(L6,'C&amp;B'!$C$178:$E$186,3,FALSE),0)</f>
        <v>221</v>
      </c>
      <c r="AF6" s="50">
        <f>IF(ISNUMBER(M6),VLOOKUP(M6,'C&amp;B'!$C$178:$E$186,3,FALSE),0)</f>
        <v>224</v>
      </c>
      <c r="AG6" s="50">
        <f>IF(ISNUMBER(N6),VLOOKUP(N6,'C&amp;B'!$C$178:$E$186,3,FALSE),0)</f>
        <v>224</v>
      </c>
      <c r="AH6" s="50">
        <f>IF(ISNUMBER(O6),VLOOKUP(O6,'C&amp;B'!$C$178:$E$186,3,FALSE),0)</f>
        <v>219</v>
      </c>
      <c r="AI6" s="50">
        <f>IF(ISNUMBER(P6),VLOOKUP(P6,'C&amp;B'!$C$178:$E$186,3,FALSE),0)</f>
        <v>219</v>
      </c>
      <c r="AJ6" s="50">
        <f>IF(ISNUMBER(Q6),VLOOKUP(Q6,'C&amp;B'!$C$178:$E$186,3,FALSE),0)</f>
        <v>230</v>
      </c>
      <c r="AK6" s="50">
        <f>IF(ISNUMBER(R6),VLOOKUP(R6,'C&amp;B'!$C$178:$E$186,3,FALSE),0)</f>
        <v>230</v>
      </c>
      <c r="AL6" s="50">
        <f>IF(ISNUMBER(S6),VLOOKUP(S6,'C&amp;B'!$C$178:$E$186,3,FALSE),0)</f>
        <v>224</v>
      </c>
      <c r="AM6" s="50">
        <f>IF(ISNUMBER(T6),VLOOKUP(T6,'C&amp;B'!$C$178:$E$186,3,FALSE),0)</f>
        <v>221</v>
      </c>
      <c r="AO6" s="160">
        <f>'C&amp;B'!D8</f>
        <v>93.8</v>
      </c>
      <c r="AP6" s="14">
        <f>$AO6*W6</f>
        <v>20729.8</v>
      </c>
      <c r="AQ6" s="14">
        <f t="shared" si="0"/>
        <v>20729.8</v>
      </c>
      <c r="AR6" s="14">
        <f t="shared" si="0"/>
        <v>20729.8</v>
      </c>
      <c r="AS6" s="14">
        <f t="shared" si="0"/>
        <v>20729.8</v>
      </c>
      <c r="AT6" s="14">
        <f t="shared" si="0"/>
        <v>20729.8</v>
      </c>
      <c r="AU6" s="14">
        <f t="shared" si="0"/>
        <v>20729.8</v>
      </c>
      <c r="AV6" s="14">
        <f t="shared" si="0"/>
        <v>20729.8</v>
      </c>
      <c r="AW6" s="14">
        <f t="shared" si="0"/>
        <v>20729.8</v>
      </c>
      <c r="AX6" s="14">
        <f t="shared" si="0"/>
        <v>20729.8</v>
      </c>
      <c r="AY6" s="14">
        <f t="shared" si="0"/>
        <v>21011.200000000001</v>
      </c>
      <c r="AZ6" s="14">
        <f t="shared" si="0"/>
        <v>21011.200000000001</v>
      </c>
      <c r="BA6" s="14">
        <f t="shared" si="0"/>
        <v>20542.2</v>
      </c>
      <c r="BB6" s="14">
        <f t="shared" si="0"/>
        <v>20542.2</v>
      </c>
      <c r="BC6" s="14">
        <f t="shared" si="0"/>
        <v>21574</v>
      </c>
      <c r="BD6" s="14">
        <f t="shared" si="0"/>
        <v>21574</v>
      </c>
      <c r="BE6" s="14">
        <f t="shared" si="0"/>
        <v>21011.200000000001</v>
      </c>
      <c r="BF6" s="14">
        <f t="shared" si="1"/>
        <v>20729.8</v>
      </c>
    </row>
    <row r="7" spans="2:58">
      <c r="B7" s="59" t="s">
        <v>338</v>
      </c>
      <c r="C7" s="129" t="s">
        <v>339</v>
      </c>
      <c r="D7" s="52" t="str">
        <f>G7</f>
        <v xml:space="preserve">N/A </v>
      </c>
      <c r="E7" s="53" t="str">
        <f>'C&amp;B'!D52</f>
        <v xml:space="preserve">N/A </v>
      </c>
      <c r="F7" s="53" t="str">
        <f t="shared" ref="F7:H15" si="2">E7</f>
        <v xml:space="preserve">N/A </v>
      </c>
      <c r="G7" s="53" t="str">
        <f>'C&amp;B'!E52</f>
        <v xml:space="preserve">N/A </v>
      </c>
      <c r="H7" s="53" t="str">
        <f t="shared" si="2"/>
        <v xml:space="preserve">N/A </v>
      </c>
      <c r="I7" s="53" t="str">
        <f>'C&amp;B'!F52</f>
        <v xml:space="preserve">N/A </v>
      </c>
      <c r="J7" s="53" t="str">
        <f t="shared" ref="J7:J15" si="3">I7</f>
        <v xml:space="preserve">N/A </v>
      </c>
      <c r="K7" s="53" t="str">
        <f>'C&amp;B'!G52</f>
        <v xml:space="preserve">N/A </v>
      </c>
      <c r="L7" s="53" t="str">
        <f t="shared" ref="L7:L15" si="4">K7</f>
        <v xml:space="preserve">N/A </v>
      </c>
      <c r="M7" s="53" t="str">
        <f>'C&amp;B'!H52</f>
        <v xml:space="preserve">N/A </v>
      </c>
      <c r="N7" s="53" t="str">
        <f t="shared" ref="N7:N15" si="5">M7</f>
        <v xml:space="preserve">N/A </v>
      </c>
      <c r="O7" s="53" t="str">
        <f>'C&amp;B'!I52</f>
        <v xml:space="preserve">N/A </v>
      </c>
      <c r="P7" s="53" t="str">
        <f t="shared" ref="P7:R15" si="6">O7</f>
        <v xml:space="preserve">N/A </v>
      </c>
      <c r="Q7" s="53" t="str">
        <f>'C&amp;B'!J52</f>
        <v xml:space="preserve">N/A </v>
      </c>
      <c r="R7" s="53" t="str">
        <f t="shared" si="6"/>
        <v xml:space="preserve">N/A </v>
      </c>
      <c r="S7" s="52" t="str">
        <f>Q7</f>
        <v xml:space="preserve">N/A </v>
      </c>
      <c r="T7" s="134">
        <f>INPUT!C26</f>
        <v>0.21</v>
      </c>
      <c r="U7" s="50"/>
      <c r="V7" s="138" t="s">
        <v>694</v>
      </c>
      <c r="W7" s="50">
        <f>IF(ISNUMBER(D7),VLOOKUP(D7,'C&amp;B'!$C$188:$E$194,3,FALSE),0)</f>
        <v>0</v>
      </c>
      <c r="X7" s="50">
        <f>IF(ISNUMBER(E7),VLOOKUP(E7,'C&amp;B'!$C$188:$E$194,3,FALSE),0)</f>
        <v>0</v>
      </c>
      <c r="Y7" s="50">
        <f>IF(ISNUMBER(F7),VLOOKUP(F7,'C&amp;B'!$C$188:$E$194,3,FALSE),0)</f>
        <v>0</v>
      </c>
      <c r="Z7" s="50">
        <f>IF(ISNUMBER(G7),VLOOKUP(G7,'C&amp;B'!$C$188:$E$194,3,FALSE),0)</f>
        <v>0</v>
      </c>
      <c r="AA7" s="50">
        <f>IF(ISNUMBER(H7),VLOOKUP(H7,'C&amp;B'!$C$188:$E$194,3,FALSE),0)</f>
        <v>0</v>
      </c>
      <c r="AB7" s="50">
        <f>IF(ISNUMBER(I7),VLOOKUP(I7,'C&amp;B'!$C$188:$E$194,3,FALSE),0)</f>
        <v>0</v>
      </c>
      <c r="AC7" s="50">
        <f>IF(ISNUMBER(J7),VLOOKUP(J7,'C&amp;B'!$C$188:$E$194,3,FALSE),0)</f>
        <v>0</v>
      </c>
      <c r="AD7" s="50">
        <f>IF(ISNUMBER(K7),VLOOKUP(K7,'C&amp;B'!$C$188:$E$194,3,FALSE),0)</f>
        <v>0</v>
      </c>
      <c r="AE7" s="50">
        <f>IF(ISNUMBER(L7),VLOOKUP(L7,'C&amp;B'!$C$188:$E$194,3,FALSE),0)</f>
        <v>0</v>
      </c>
      <c r="AF7" s="50">
        <f>IF(ISNUMBER(M7),VLOOKUP(M7,'C&amp;B'!$C$188:$E$194,3,FALSE),0)</f>
        <v>0</v>
      </c>
      <c r="AG7" s="50">
        <f>IF(ISNUMBER(N7),VLOOKUP(N7,'C&amp;B'!$C$188:$E$194,3,FALSE),0)</f>
        <v>0</v>
      </c>
      <c r="AH7" s="50">
        <f>IF(ISNUMBER(O7),VLOOKUP(O7,'C&amp;B'!$C$188:$E$194,3,FALSE),0)</f>
        <v>0</v>
      </c>
      <c r="AI7" s="50">
        <f>IF(ISNUMBER(P7),VLOOKUP(P7,'C&amp;B'!$C$188:$E$194,3,FALSE),0)</f>
        <v>0</v>
      </c>
      <c r="AJ7" s="50">
        <f>IF(ISNUMBER(Q7),VLOOKUP(Q7,'C&amp;B'!$C$188:$E$194,3,FALSE),0)</f>
        <v>0</v>
      </c>
      <c r="AK7" s="50">
        <f>IF(ISNUMBER(R7),VLOOKUP(R7,'C&amp;B'!$C$188:$E$194,3,FALSE),0)</f>
        <v>0</v>
      </c>
      <c r="AL7" s="50">
        <f>IF(ISNUMBER(S7),VLOOKUP(S7,'C&amp;B'!$C$188:$E$194,3,FALSE),0)</f>
        <v>0</v>
      </c>
      <c r="AM7" s="50">
        <f>IF(ISNUMBER(T7),VLOOKUP(T7,'C&amp;B'!$C$188:$E$194,3,FALSE),0)</f>
        <v>146</v>
      </c>
      <c r="AO7" s="160">
        <f>'C&amp;B'!D9</f>
        <v>0</v>
      </c>
      <c r="AP7" s="14">
        <f t="shared" ref="AP7:BE26" si="7">$AO7*W7</f>
        <v>0</v>
      </c>
      <c r="AQ7" s="14">
        <f t="shared" si="1"/>
        <v>0</v>
      </c>
      <c r="AR7" s="14">
        <f t="shared" si="1"/>
        <v>0</v>
      </c>
      <c r="AS7" s="14">
        <f t="shared" si="1"/>
        <v>0</v>
      </c>
      <c r="AT7" s="14">
        <f t="shared" si="1"/>
        <v>0</v>
      </c>
      <c r="AU7" s="14">
        <f t="shared" si="1"/>
        <v>0</v>
      </c>
      <c r="AV7" s="14">
        <f t="shared" si="1"/>
        <v>0</v>
      </c>
      <c r="AW7" s="14">
        <f t="shared" si="1"/>
        <v>0</v>
      </c>
      <c r="AX7" s="14">
        <f t="shared" si="1"/>
        <v>0</v>
      </c>
      <c r="AY7" s="14">
        <f t="shared" si="1"/>
        <v>0</v>
      </c>
      <c r="AZ7" s="14">
        <f t="shared" si="1"/>
        <v>0</v>
      </c>
      <c r="BA7" s="14">
        <f t="shared" si="1"/>
        <v>0</v>
      </c>
      <c r="BB7" s="14">
        <f t="shared" si="1"/>
        <v>0</v>
      </c>
      <c r="BC7" s="14">
        <f t="shared" si="1"/>
        <v>0</v>
      </c>
      <c r="BD7" s="14">
        <f t="shared" si="1"/>
        <v>0</v>
      </c>
      <c r="BE7" s="14">
        <f t="shared" si="1"/>
        <v>0</v>
      </c>
      <c r="BF7" s="14">
        <f t="shared" si="1"/>
        <v>0</v>
      </c>
    </row>
    <row r="8" spans="2:58">
      <c r="B8" s="59" t="s">
        <v>131</v>
      </c>
      <c r="C8" s="129" t="s">
        <v>339</v>
      </c>
      <c r="D8" s="52">
        <v>0.13</v>
      </c>
      <c r="E8" s="53">
        <f>'C&amp;B'!D53</f>
        <v>0.13</v>
      </c>
      <c r="F8" s="53">
        <f t="shared" si="2"/>
        <v>0.13</v>
      </c>
      <c r="G8" s="53">
        <f>'C&amp;B'!E53</f>
        <v>0.15</v>
      </c>
      <c r="H8" s="53">
        <f t="shared" si="2"/>
        <v>0.15</v>
      </c>
      <c r="I8" s="53">
        <f>'C&amp;B'!F53</f>
        <v>0.13</v>
      </c>
      <c r="J8" s="53">
        <f t="shared" si="3"/>
        <v>0.13</v>
      </c>
      <c r="K8" s="53">
        <f>'C&amp;B'!G53</f>
        <v>0.12</v>
      </c>
      <c r="L8" s="53">
        <f t="shared" si="4"/>
        <v>0.12</v>
      </c>
      <c r="M8" s="53">
        <f>'C&amp;B'!H53</f>
        <v>0.11</v>
      </c>
      <c r="N8" s="53">
        <f t="shared" si="5"/>
        <v>0.11</v>
      </c>
      <c r="O8" s="53">
        <f>'C&amp;B'!I53</f>
        <v>0.11</v>
      </c>
      <c r="P8" s="53">
        <f t="shared" si="6"/>
        <v>0.11</v>
      </c>
      <c r="Q8" s="53">
        <f>'C&amp;B'!J53</f>
        <v>0.13</v>
      </c>
      <c r="R8" s="53">
        <f t="shared" si="6"/>
        <v>0.13</v>
      </c>
      <c r="S8" s="52">
        <v>0.11</v>
      </c>
      <c r="T8" s="134">
        <f>INPUT!C27</f>
        <v>0.13</v>
      </c>
      <c r="U8" s="50"/>
      <c r="V8" s="138" t="s">
        <v>694</v>
      </c>
      <c r="W8" s="50">
        <f>IF(ISNUMBER(D8),VLOOKUP(D8,'C&amp;B'!$C$196:$E$202,3,FALSE),0)</f>
        <v>152</v>
      </c>
      <c r="X8" s="50">
        <f>IF(ISNUMBER(E8),VLOOKUP(E8,'C&amp;B'!$C$196:$E$202,3,FALSE),0)</f>
        <v>152</v>
      </c>
      <c r="Y8" s="50">
        <f>IF(ISNUMBER(F8),VLOOKUP(F8,'C&amp;B'!$C$196:$E$202,3,FALSE),0)</f>
        <v>152</v>
      </c>
      <c r="Z8" s="50">
        <f>IF(ISNUMBER(G8),VLOOKUP(G8,'C&amp;B'!$C$196:$E$202,3,FALSE),0)</f>
        <v>146</v>
      </c>
      <c r="AA8" s="50">
        <f>IF(ISNUMBER(H8),VLOOKUP(H8,'C&amp;B'!$C$196:$E$202,3,FALSE),0)</f>
        <v>146</v>
      </c>
      <c r="AB8" s="50">
        <f>IF(ISNUMBER(I8),VLOOKUP(I8,'C&amp;B'!$C$196:$E$202,3,FALSE),0)</f>
        <v>152</v>
      </c>
      <c r="AC8" s="50">
        <f>IF(ISNUMBER(J8),VLOOKUP(J8,'C&amp;B'!$C$196:$E$202,3,FALSE),0)</f>
        <v>152</v>
      </c>
      <c r="AD8" s="50">
        <f>IF(ISNUMBER(K8),VLOOKUP(K8,'C&amp;B'!$C$196:$E$202,3,FALSE),0)</f>
        <v>154</v>
      </c>
      <c r="AE8" s="50">
        <f>IF(ISNUMBER(L8),VLOOKUP(L8,'C&amp;B'!$C$196:$E$202,3,FALSE),0)</f>
        <v>154</v>
      </c>
      <c r="AF8" s="50">
        <f>IF(ISNUMBER(M8),VLOOKUP(M8,'C&amp;B'!$C$196:$E$202,3,FALSE),0)</f>
        <v>157</v>
      </c>
      <c r="AG8" s="50">
        <f>IF(ISNUMBER(N8),VLOOKUP(N8,'C&amp;B'!$C$196:$E$202,3,FALSE),0)</f>
        <v>157</v>
      </c>
      <c r="AH8" s="50">
        <f>IF(ISNUMBER(O8),VLOOKUP(O8,'C&amp;B'!$C$196:$E$202,3,FALSE),0)</f>
        <v>157</v>
      </c>
      <c r="AI8" s="50">
        <f>IF(ISNUMBER(P8),VLOOKUP(P8,'C&amp;B'!$C$196:$E$202,3,FALSE),0)</f>
        <v>157</v>
      </c>
      <c r="AJ8" s="50">
        <f>IF(ISNUMBER(Q8),VLOOKUP(Q8,'C&amp;B'!$C$196:$E$202,3,FALSE),0)</f>
        <v>152</v>
      </c>
      <c r="AK8" s="50">
        <f>IF(ISNUMBER(R8),VLOOKUP(R8,'C&amp;B'!$C$196:$E$202,3,FALSE),0)</f>
        <v>152</v>
      </c>
      <c r="AL8" s="50">
        <f>IF(ISNUMBER(S8),VLOOKUP(S8,'C&amp;B'!$C$196:$E$202,3,FALSE),0)</f>
        <v>157</v>
      </c>
      <c r="AM8" s="50">
        <f>IF(ISNUMBER(T8),VLOOKUP(T8,'C&amp;B'!$C$196:$E$202,3,FALSE),0)</f>
        <v>152</v>
      </c>
      <c r="AO8" s="160">
        <f>'C&amp;B'!D12</f>
        <v>42.6</v>
      </c>
      <c r="AP8" s="14">
        <f t="shared" si="7"/>
        <v>6475.2</v>
      </c>
      <c r="AQ8" s="14">
        <f t="shared" si="1"/>
        <v>6475.2</v>
      </c>
      <c r="AR8" s="14">
        <f t="shared" si="1"/>
        <v>6475.2</v>
      </c>
      <c r="AS8" s="14">
        <f t="shared" si="1"/>
        <v>6219.6</v>
      </c>
      <c r="AT8" s="14">
        <f t="shared" si="1"/>
        <v>6219.6</v>
      </c>
      <c r="AU8" s="14">
        <f t="shared" si="1"/>
        <v>6475.2</v>
      </c>
      <c r="AV8" s="14">
        <f t="shared" si="1"/>
        <v>6475.2</v>
      </c>
      <c r="AW8" s="14">
        <f t="shared" si="1"/>
        <v>6560.4000000000005</v>
      </c>
      <c r="AX8" s="14">
        <f t="shared" si="1"/>
        <v>6560.4000000000005</v>
      </c>
      <c r="AY8" s="14">
        <f t="shared" si="1"/>
        <v>6688.2</v>
      </c>
      <c r="AZ8" s="14">
        <f t="shared" si="1"/>
        <v>6688.2</v>
      </c>
      <c r="BA8" s="14">
        <f t="shared" si="1"/>
        <v>6688.2</v>
      </c>
      <c r="BB8" s="14">
        <f t="shared" si="1"/>
        <v>6688.2</v>
      </c>
      <c r="BC8" s="14">
        <f t="shared" si="1"/>
        <v>6475.2</v>
      </c>
      <c r="BD8" s="14">
        <f t="shared" si="1"/>
        <v>6475.2</v>
      </c>
      <c r="BE8" s="14">
        <f t="shared" si="1"/>
        <v>6688.2</v>
      </c>
      <c r="BF8" s="14">
        <f t="shared" si="1"/>
        <v>6475.2</v>
      </c>
    </row>
    <row r="9" spans="2:58">
      <c r="B9" s="59" t="s">
        <v>341</v>
      </c>
      <c r="C9" s="129" t="s">
        <v>339</v>
      </c>
      <c r="D9" s="52">
        <v>0.11</v>
      </c>
      <c r="E9" s="53">
        <f>'C&amp;B'!D54</f>
        <v>0.13</v>
      </c>
      <c r="F9" s="53">
        <f t="shared" si="2"/>
        <v>0.13</v>
      </c>
      <c r="G9" s="53">
        <f>'C&amp;B'!E54</f>
        <v>0.11</v>
      </c>
      <c r="H9" s="53">
        <f t="shared" si="2"/>
        <v>0.11</v>
      </c>
      <c r="I9" s="53">
        <f>'C&amp;B'!F54</f>
        <v>0.13</v>
      </c>
      <c r="J9" s="53">
        <f t="shared" si="3"/>
        <v>0.13</v>
      </c>
      <c r="K9" s="53">
        <f>'C&amp;B'!G54</f>
        <v>0.11</v>
      </c>
      <c r="L9" s="53">
        <f t="shared" si="4"/>
        <v>0.11</v>
      </c>
      <c r="M9" s="53">
        <f>'C&amp;B'!H54</f>
        <v>0.11</v>
      </c>
      <c r="N9" s="53">
        <f t="shared" si="5"/>
        <v>0.11</v>
      </c>
      <c r="O9" s="53">
        <f>'C&amp;B'!I54</f>
        <v>0.11</v>
      </c>
      <c r="P9" s="53">
        <f t="shared" si="6"/>
        <v>0.11</v>
      </c>
      <c r="Q9" s="53">
        <f>'C&amp;B'!J54</f>
        <v>0.11</v>
      </c>
      <c r="R9" s="53">
        <f t="shared" si="6"/>
        <v>0.11</v>
      </c>
      <c r="S9" s="52">
        <v>0.11</v>
      </c>
      <c r="T9" s="134">
        <f>INPUT!C28</f>
        <v>0.13</v>
      </c>
      <c r="U9" s="50"/>
      <c r="V9" s="138" t="s">
        <v>694</v>
      </c>
      <c r="W9" s="50">
        <f>IF(ISNUMBER(D9),VLOOKUP(D9,'C&amp;B'!$C$204:$E$210,3,FALSE),0)</f>
        <v>187</v>
      </c>
      <c r="X9" s="50">
        <f>IF(ISNUMBER(E9),VLOOKUP(E9,'C&amp;B'!$C$204:$E$210,3,FALSE),0)</f>
        <v>185</v>
      </c>
      <c r="Y9" s="50">
        <f>IF(ISNUMBER(F9),VLOOKUP(F9,'C&amp;B'!$C$204:$E$210,3,FALSE),0)</f>
        <v>185</v>
      </c>
      <c r="Z9" s="50">
        <f>IF(ISNUMBER(G9),VLOOKUP(G9,'C&amp;B'!$C$204:$E$210,3,FALSE),0)</f>
        <v>187</v>
      </c>
      <c r="AA9" s="50">
        <f>IF(ISNUMBER(H9),VLOOKUP(H9,'C&amp;B'!$C$204:$E$210,3,FALSE),0)</f>
        <v>187</v>
      </c>
      <c r="AB9" s="50">
        <f>IF(ISNUMBER(I9),VLOOKUP(I9,'C&amp;B'!$C$204:$E$210,3,FALSE),0)</f>
        <v>185</v>
      </c>
      <c r="AC9" s="50">
        <f>IF(ISNUMBER(J9),VLOOKUP(J9,'C&amp;B'!$C$204:$E$210,3,FALSE),0)</f>
        <v>185</v>
      </c>
      <c r="AD9" s="50">
        <f>IF(ISNUMBER(K9),VLOOKUP(K9,'C&amp;B'!$C$204:$E$210,3,FALSE),0)</f>
        <v>187</v>
      </c>
      <c r="AE9" s="50">
        <f>IF(ISNUMBER(L9),VLOOKUP(L9,'C&amp;B'!$C$204:$E$210,3,FALSE),0)</f>
        <v>187</v>
      </c>
      <c r="AF9" s="50">
        <f>IF(ISNUMBER(M9),VLOOKUP(M9,'C&amp;B'!$C$204:$E$210,3,FALSE),0)</f>
        <v>187</v>
      </c>
      <c r="AG9" s="50">
        <f>IF(ISNUMBER(N9),VLOOKUP(N9,'C&amp;B'!$C$204:$E$210,3,FALSE),0)</f>
        <v>187</v>
      </c>
      <c r="AH9" s="50">
        <f>IF(ISNUMBER(O9),VLOOKUP(O9,'C&amp;B'!$C$204:$E$210,3,FALSE),0)</f>
        <v>187</v>
      </c>
      <c r="AI9" s="50">
        <f>IF(ISNUMBER(P9),VLOOKUP(P9,'C&amp;B'!$C$204:$E$210,3,FALSE),0)</f>
        <v>187</v>
      </c>
      <c r="AJ9" s="50">
        <f>IF(ISNUMBER(Q9),VLOOKUP(Q9,'C&amp;B'!$C$204:$E$210,3,FALSE),0)</f>
        <v>187</v>
      </c>
      <c r="AK9" s="50">
        <f>IF(ISNUMBER(R9),VLOOKUP(R9,'C&amp;B'!$C$204:$E$210,3,FALSE),0)</f>
        <v>187</v>
      </c>
      <c r="AL9" s="50">
        <f>IF(ISNUMBER(S9),VLOOKUP(S9,'C&amp;B'!$C$204:$E$210,3,FALSE),0)</f>
        <v>187</v>
      </c>
      <c r="AM9" s="50">
        <f>IF(ISNUMBER(T9),VLOOKUP(T9,'C&amp;B'!$C$204:$E$210,3,FALSE),0)</f>
        <v>185</v>
      </c>
      <c r="AO9" s="160">
        <f>'C&amp;B'!D10</f>
        <v>41.8</v>
      </c>
      <c r="AP9" s="14">
        <f t="shared" si="7"/>
        <v>7816.5999999999995</v>
      </c>
      <c r="AQ9" s="14">
        <f t="shared" si="1"/>
        <v>7732.9999999999991</v>
      </c>
      <c r="AR9" s="14">
        <f t="shared" si="1"/>
        <v>7732.9999999999991</v>
      </c>
      <c r="AS9" s="14">
        <f t="shared" si="1"/>
        <v>7816.5999999999995</v>
      </c>
      <c r="AT9" s="14">
        <f t="shared" si="1"/>
        <v>7816.5999999999995</v>
      </c>
      <c r="AU9" s="14">
        <f t="shared" si="1"/>
        <v>7732.9999999999991</v>
      </c>
      <c r="AV9" s="14">
        <f t="shared" si="1"/>
        <v>7732.9999999999991</v>
      </c>
      <c r="AW9" s="14">
        <f t="shared" si="1"/>
        <v>7816.5999999999995</v>
      </c>
      <c r="AX9" s="14">
        <f t="shared" si="1"/>
        <v>7816.5999999999995</v>
      </c>
      <c r="AY9" s="14">
        <f t="shared" si="1"/>
        <v>7816.5999999999995</v>
      </c>
      <c r="AZ9" s="14">
        <f t="shared" si="1"/>
        <v>7816.5999999999995</v>
      </c>
      <c r="BA9" s="14">
        <f t="shared" si="1"/>
        <v>7816.5999999999995</v>
      </c>
      <c r="BB9" s="14">
        <f t="shared" si="1"/>
        <v>7816.5999999999995</v>
      </c>
      <c r="BC9" s="14">
        <f t="shared" si="1"/>
        <v>7816.5999999999995</v>
      </c>
      <c r="BD9" s="14">
        <f t="shared" si="1"/>
        <v>7816.5999999999995</v>
      </c>
      <c r="BE9" s="14">
        <f t="shared" si="1"/>
        <v>7816.5999999999995</v>
      </c>
      <c r="BF9" s="14">
        <f t="shared" si="1"/>
        <v>7732.9999999999991</v>
      </c>
    </row>
    <row r="10" spans="2:58">
      <c r="B10" s="59" t="s">
        <v>340</v>
      </c>
      <c r="C10" s="129" t="s">
        <v>339</v>
      </c>
      <c r="D10" s="52">
        <v>0.11</v>
      </c>
      <c r="E10" s="53">
        <f>'C&amp;B'!D55</f>
        <v>0.2</v>
      </c>
      <c r="F10" s="53">
        <f t="shared" si="2"/>
        <v>0.2</v>
      </c>
      <c r="G10" s="53">
        <f>'C&amp;B'!E55</f>
        <v>0.2</v>
      </c>
      <c r="H10" s="53">
        <f t="shared" si="2"/>
        <v>0.2</v>
      </c>
      <c r="I10" s="53">
        <f>'C&amp;B'!F55</f>
        <v>0.15</v>
      </c>
      <c r="J10" s="53">
        <f t="shared" si="3"/>
        <v>0.15</v>
      </c>
      <c r="K10" s="53">
        <f>'C&amp;B'!G55</f>
        <v>0.13</v>
      </c>
      <c r="L10" s="53">
        <f t="shared" si="4"/>
        <v>0.13</v>
      </c>
      <c r="M10" s="53">
        <f>'C&amp;B'!H55</f>
        <v>0.13</v>
      </c>
      <c r="N10" s="53">
        <f t="shared" si="5"/>
        <v>0.13</v>
      </c>
      <c r="O10" s="53">
        <f>'C&amp;B'!I55</f>
        <v>0.13</v>
      </c>
      <c r="P10" s="53">
        <f t="shared" si="6"/>
        <v>0.13</v>
      </c>
      <c r="Q10" s="53">
        <f>'C&amp;B'!J55</f>
        <v>0.11</v>
      </c>
      <c r="R10" s="53">
        <f t="shared" si="6"/>
        <v>0.11</v>
      </c>
      <c r="S10" s="52">
        <v>0.11</v>
      </c>
      <c r="T10" s="134">
        <f>T9</f>
        <v>0.13</v>
      </c>
      <c r="U10" s="50"/>
      <c r="V10" s="138" t="s">
        <v>694</v>
      </c>
      <c r="W10" s="50">
        <f>W9</f>
        <v>187</v>
      </c>
      <c r="X10" s="50">
        <f t="shared" ref="X10:AM10" si="8">X9</f>
        <v>185</v>
      </c>
      <c r="Y10" s="50">
        <f t="shared" si="8"/>
        <v>185</v>
      </c>
      <c r="Z10" s="50">
        <f t="shared" si="8"/>
        <v>187</v>
      </c>
      <c r="AA10" s="50">
        <f t="shared" si="8"/>
        <v>187</v>
      </c>
      <c r="AB10" s="50">
        <f t="shared" si="8"/>
        <v>185</v>
      </c>
      <c r="AC10" s="50">
        <f t="shared" si="8"/>
        <v>185</v>
      </c>
      <c r="AD10" s="50">
        <f t="shared" si="8"/>
        <v>187</v>
      </c>
      <c r="AE10" s="50">
        <f t="shared" si="8"/>
        <v>187</v>
      </c>
      <c r="AF10" s="50">
        <f t="shared" si="8"/>
        <v>187</v>
      </c>
      <c r="AG10" s="50">
        <f t="shared" si="8"/>
        <v>187</v>
      </c>
      <c r="AH10" s="50">
        <f t="shared" si="8"/>
        <v>187</v>
      </c>
      <c r="AI10" s="50">
        <f t="shared" si="8"/>
        <v>187</v>
      </c>
      <c r="AJ10" s="50">
        <f t="shared" si="8"/>
        <v>187</v>
      </c>
      <c r="AK10" s="50">
        <f t="shared" si="8"/>
        <v>187</v>
      </c>
      <c r="AL10" s="50">
        <f t="shared" si="8"/>
        <v>187</v>
      </c>
      <c r="AM10" s="50">
        <f t="shared" si="8"/>
        <v>185</v>
      </c>
      <c r="AO10" s="160">
        <f>'C&amp;B'!D11</f>
        <v>0.8</v>
      </c>
      <c r="AP10" s="14">
        <f t="shared" si="7"/>
        <v>149.6</v>
      </c>
      <c r="AQ10" s="14">
        <f t="shared" si="1"/>
        <v>148</v>
      </c>
      <c r="AR10" s="14">
        <f t="shared" si="1"/>
        <v>148</v>
      </c>
      <c r="AS10" s="14">
        <f t="shared" si="1"/>
        <v>149.6</v>
      </c>
      <c r="AT10" s="14">
        <f t="shared" si="1"/>
        <v>149.6</v>
      </c>
      <c r="AU10" s="14">
        <f t="shared" si="1"/>
        <v>148</v>
      </c>
      <c r="AV10" s="14">
        <f t="shared" si="1"/>
        <v>148</v>
      </c>
      <c r="AW10" s="14">
        <f t="shared" si="1"/>
        <v>149.6</v>
      </c>
      <c r="AX10" s="14">
        <f t="shared" si="1"/>
        <v>149.6</v>
      </c>
      <c r="AY10" s="14">
        <f t="shared" si="1"/>
        <v>149.6</v>
      </c>
      <c r="AZ10" s="14">
        <f t="shared" si="1"/>
        <v>149.6</v>
      </c>
      <c r="BA10" s="14">
        <f t="shared" si="1"/>
        <v>149.6</v>
      </c>
      <c r="BB10" s="14">
        <f t="shared" si="1"/>
        <v>149.6</v>
      </c>
      <c r="BC10" s="14">
        <f t="shared" si="1"/>
        <v>149.6</v>
      </c>
      <c r="BD10" s="14">
        <f t="shared" si="1"/>
        <v>149.6</v>
      </c>
      <c r="BE10" s="14">
        <f t="shared" si="1"/>
        <v>149.6</v>
      </c>
      <c r="BF10" s="14">
        <f t="shared" si="1"/>
        <v>148</v>
      </c>
    </row>
    <row r="11" spans="2:58">
      <c r="B11" s="59" t="s">
        <v>136</v>
      </c>
      <c r="C11" s="129" t="s">
        <v>339</v>
      </c>
      <c r="D11" s="52">
        <v>1</v>
      </c>
      <c r="E11" s="53">
        <f>'C&amp;B'!D56</f>
        <v>1</v>
      </c>
      <c r="F11" s="53">
        <f t="shared" si="2"/>
        <v>1</v>
      </c>
      <c r="G11" s="53">
        <f>'C&amp;B'!E56</f>
        <v>1.2</v>
      </c>
      <c r="H11" s="53">
        <f t="shared" si="2"/>
        <v>1.2</v>
      </c>
      <c r="I11" s="53">
        <f>'C&amp;B'!F56</f>
        <v>1</v>
      </c>
      <c r="J11" s="53">
        <f t="shared" si="3"/>
        <v>1</v>
      </c>
      <c r="K11" s="53">
        <f>'C&amp;B'!G56</f>
        <v>1</v>
      </c>
      <c r="L11" s="53">
        <f t="shared" si="4"/>
        <v>1</v>
      </c>
      <c r="M11" s="53">
        <f>'C&amp;B'!H56</f>
        <v>1</v>
      </c>
      <c r="N11" s="53">
        <f t="shared" si="5"/>
        <v>1</v>
      </c>
      <c r="O11" s="53">
        <f>'C&amp;B'!I56</f>
        <v>1</v>
      </c>
      <c r="P11" s="53">
        <f t="shared" si="6"/>
        <v>1</v>
      </c>
      <c r="Q11" s="53">
        <f>'C&amp;B'!J56</f>
        <v>1</v>
      </c>
      <c r="R11" s="53">
        <f t="shared" si="6"/>
        <v>1</v>
      </c>
      <c r="S11" s="52">
        <v>1</v>
      </c>
      <c r="T11" s="134">
        <f>INPUT!C29</f>
        <v>1</v>
      </c>
      <c r="U11" s="50"/>
      <c r="V11" s="138" t="s">
        <v>694</v>
      </c>
      <c r="W11" s="50">
        <f>IF(ISNUMBER(D11),VLOOKUP(D11,'C&amp;B'!$C$212:$E$216,3,FALSE),0)</f>
        <v>330</v>
      </c>
      <c r="X11" s="50">
        <f>IF(ISNUMBER(E11),VLOOKUP(E11,'C&amp;B'!$C$212:$E$216,3,FALSE),0)</f>
        <v>330</v>
      </c>
      <c r="Y11" s="50">
        <f>IF(ISNUMBER(F11),VLOOKUP(F11,'C&amp;B'!$C$212:$E$216,3,FALSE),0)</f>
        <v>330</v>
      </c>
      <c r="Z11" s="50">
        <f>IF(ISNUMBER(G11),VLOOKUP(G11,'C&amp;B'!$C$212:$E$216,3,FALSE),0)</f>
        <v>270</v>
      </c>
      <c r="AA11" s="50">
        <f>IF(ISNUMBER(H11),VLOOKUP(H11,'C&amp;B'!$C$212:$E$216,3,FALSE),0)</f>
        <v>270</v>
      </c>
      <c r="AB11" s="50">
        <f>IF(ISNUMBER(I11),VLOOKUP(I11,'C&amp;B'!$C$212:$E$216,3,FALSE),0)</f>
        <v>330</v>
      </c>
      <c r="AC11" s="50">
        <f>IF(ISNUMBER(J11),VLOOKUP(J11,'C&amp;B'!$C$212:$E$216,3,FALSE),0)</f>
        <v>330</v>
      </c>
      <c r="AD11" s="50">
        <f>IF(ISNUMBER(K11),VLOOKUP(K11,'C&amp;B'!$C$212:$E$216,3,FALSE),0)</f>
        <v>330</v>
      </c>
      <c r="AE11" s="50">
        <f>IF(ISNUMBER(L11),VLOOKUP(L11,'C&amp;B'!$C$212:$E$216,3,FALSE),0)</f>
        <v>330</v>
      </c>
      <c r="AF11" s="50">
        <f>IF(ISNUMBER(M11),VLOOKUP(M11,'C&amp;B'!$C$212:$E$216,3,FALSE),0)</f>
        <v>330</v>
      </c>
      <c r="AG11" s="50">
        <f>IF(ISNUMBER(N11),VLOOKUP(N11,'C&amp;B'!$C$212:$E$216,3,FALSE),0)</f>
        <v>330</v>
      </c>
      <c r="AH11" s="50">
        <f>IF(ISNUMBER(O11),VLOOKUP(O11,'C&amp;B'!$C$212:$E$216,3,FALSE),0)</f>
        <v>330</v>
      </c>
      <c r="AI11" s="50">
        <f>IF(ISNUMBER(P11),VLOOKUP(P11,'C&amp;B'!$C$212:$E$216,3,FALSE),0)</f>
        <v>330</v>
      </c>
      <c r="AJ11" s="50">
        <f>IF(ISNUMBER(Q11),VLOOKUP(Q11,'C&amp;B'!$C$212:$E$216,3,FALSE),0)</f>
        <v>330</v>
      </c>
      <c r="AK11" s="50">
        <f>IF(ISNUMBER(R11),VLOOKUP(R11,'C&amp;B'!$C$212:$E$216,3,FALSE),0)</f>
        <v>330</v>
      </c>
      <c r="AL11" s="50">
        <f>IF(ISNUMBER(S11),VLOOKUP(S11,'C&amp;B'!$C$212:$E$216,3,FALSE),0)</f>
        <v>330</v>
      </c>
      <c r="AM11" s="50">
        <f>IF(ISNUMBER(T11),VLOOKUP(T11,'C&amp;B'!$C$212:$E$216,3,FALSE),0)</f>
        <v>330</v>
      </c>
      <c r="AO11" s="160">
        <f>'C&amp;B'!D15</f>
        <v>2.1</v>
      </c>
      <c r="AP11" s="14">
        <f t="shared" si="7"/>
        <v>693</v>
      </c>
      <c r="AQ11" s="14">
        <f t="shared" si="1"/>
        <v>693</v>
      </c>
      <c r="AR11" s="14">
        <f t="shared" si="1"/>
        <v>693</v>
      </c>
      <c r="AS11" s="14">
        <f t="shared" si="1"/>
        <v>567</v>
      </c>
      <c r="AT11" s="14">
        <f t="shared" si="1"/>
        <v>567</v>
      </c>
      <c r="AU11" s="14">
        <f t="shared" si="1"/>
        <v>693</v>
      </c>
      <c r="AV11" s="14">
        <f t="shared" si="1"/>
        <v>693</v>
      </c>
      <c r="AW11" s="14">
        <f t="shared" si="1"/>
        <v>693</v>
      </c>
      <c r="AX11" s="14">
        <f t="shared" si="1"/>
        <v>693</v>
      </c>
      <c r="AY11" s="14">
        <f t="shared" si="1"/>
        <v>693</v>
      </c>
      <c r="AZ11" s="14">
        <f t="shared" si="1"/>
        <v>693</v>
      </c>
      <c r="BA11" s="14">
        <f t="shared" si="1"/>
        <v>693</v>
      </c>
      <c r="BB11" s="14">
        <f t="shared" si="1"/>
        <v>693</v>
      </c>
      <c r="BC11" s="14">
        <f t="shared" si="1"/>
        <v>693</v>
      </c>
      <c r="BD11" s="14">
        <f t="shared" si="1"/>
        <v>693</v>
      </c>
      <c r="BE11" s="14">
        <f t="shared" si="1"/>
        <v>693</v>
      </c>
      <c r="BF11" s="14">
        <f t="shared" si="1"/>
        <v>693</v>
      </c>
    </row>
    <row r="12" spans="2:58">
      <c r="B12" s="59" t="s">
        <v>138</v>
      </c>
      <c r="C12" s="129" t="s">
        <v>339</v>
      </c>
      <c r="D12" s="52">
        <v>1.2</v>
      </c>
      <c r="E12" s="53">
        <f>'C&amp;B'!D57</f>
        <v>1.4</v>
      </c>
      <c r="F12" s="53">
        <f t="shared" si="2"/>
        <v>1.4</v>
      </c>
      <c r="G12" s="53">
        <f>'C&amp;B'!E57</f>
        <v>1.2</v>
      </c>
      <c r="H12" s="53">
        <f t="shared" si="2"/>
        <v>1.2</v>
      </c>
      <c r="I12" s="53">
        <f>'C&amp;B'!F57</f>
        <v>1.4</v>
      </c>
      <c r="J12" s="53">
        <f t="shared" si="3"/>
        <v>1.4</v>
      </c>
      <c r="K12" s="53">
        <f>'C&amp;B'!G57</f>
        <v>1.2</v>
      </c>
      <c r="L12" s="53">
        <f t="shared" si="4"/>
        <v>1.2</v>
      </c>
      <c r="M12" s="53">
        <f>'C&amp;B'!H57</f>
        <v>0.8</v>
      </c>
      <c r="N12" s="53">
        <f t="shared" si="5"/>
        <v>0.8</v>
      </c>
      <c r="O12" s="53">
        <f>'C&amp;B'!I57</f>
        <v>0.8</v>
      </c>
      <c r="P12" s="53">
        <f t="shared" si="6"/>
        <v>0.8</v>
      </c>
      <c r="Q12" s="53">
        <f>'C&amp;B'!J57</f>
        <v>0.8</v>
      </c>
      <c r="R12" s="53">
        <f t="shared" si="6"/>
        <v>0.8</v>
      </c>
      <c r="S12" s="52">
        <v>0.8</v>
      </c>
      <c r="T12" s="134">
        <f>INPUT!C30</f>
        <v>1.4</v>
      </c>
      <c r="U12" s="50"/>
      <c r="V12" s="138" t="s">
        <v>694</v>
      </c>
      <c r="W12" s="50">
        <f>IF(ISNUMBER(D12),VLOOKUP(D12,'C&amp;B'!$C$218:$E$222,3,FALSE),0)</f>
        <v>300</v>
      </c>
      <c r="X12" s="50">
        <f>IF(ISNUMBER(E12),VLOOKUP(E12,'C&amp;B'!$C$218:$E$222,3,FALSE),0)</f>
        <v>265</v>
      </c>
      <c r="Y12" s="50">
        <f>IF(ISNUMBER(F12),VLOOKUP(F12,'C&amp;B'!$C$218:$E$222,3,FALSE),0)</f>
        <v>265</v>
      </c>
      <c r="Z12" s="50">
        <f>IF(ISNUMBER(G12),VLOOKUP(G12,'C&amp;B'!$C$218:$E$222,3,FALSE),0)</f>
        <v>300</v>
      </c>
      <c r="AA12" s="50">
        <f>IF(ISNUMBER(H12),VLOOKUP(H12,'C&amp;B'!$C$218:$E$222,3,FALSE),0)</f>
        <v>300</v>
      </c>
      <c r="AB12" s="50">
        <f>IF(ISNUMBER(I12),VLOOKUP(I12,'C&amp;B'!$C$218:$E$222,3,FALSE),0)</f>
        <v>265</v>
      </c>
      <c r="AC12" s="50">
        <f>IF(ISNUMBER(J12),VLOOKUP(J12,'C&amp;B'!$C$218:$E$222,3,FALSE),0)</f>
        <v>265</v>
      </c>
      <c r="AD12" s="50">
        <f>IF(ISNUMBER(K12),VLOOKUP(K12,'C&amp;B'!$C$218:$E$222,3,FALSE),0)</f>
        <v>300</v>
      </c>
      <c r="AE12" s="50">
        <f>IF(ISNUMBER(L12),VLOOKUP(L12,'C&amp;B'!$C$218:$E$222,3,FALSE),0)</f>
        <v>300</v>
      </c>
      <c r="AF12" s="50">
        <f>IF(ISNUMBER(M12),VLOOKUP(M12,'C&amp;B'!$C$218:$E$222,3,FALSE),0)</f>
        <v>360</v>
      </c>
      <c r="AG12" s="50">
        <f>IF(ISNUMBER(N12),VLOOKUP(N12,'C&amp;B'!$C$218:$E$222,3,FALSE),0)</f>
        <v>360</v>
      </c>
      <c r="AH12" s="50">
        <f>IF(ISNUMBER(O12),VLOOKUP(O12,'C&amp;B'!$C$218:$E$222,3,FALSE),0)</f>
        <v>360</v>
      </c>
      <c r="AI12" s="50">
        <f>IF(ISNUMBER(P12),VLOOKUP(P12,'C&amp;B'!$C$218:$E$222,3,FALSE),0)</f>
        <v>360</v>
      </c>
      <c r="AJ12" s="50">
        <f>IF(ISNUMBER(Q12),VLOOKUP(Q12,'C&amp;B'!$C$218:$E$222,3,FALSE),0)</f>
        <v>360</v>
      </c>
      <c r="AK12" s="50">
        <f>IF(ISNUMBER(R12),VLOOKUP(R12,'C&amp;B'!$C$218:$E$222,3,FALSE),0)</f>
        <v>360</v>
      </c>
      <c r="AL12" s="50">
        <f>IF(ISNUMBER(S12),VLOOKUP(S12,'C&amp;B'!$C$218:$E$222,3,FALSE),0)</f>
        <v>360</v>
      </c>
      <c r="AM12" s="50">
        <f>IF(ISNUMBER(T12),VLOOKUP(T12,'C&amp;B'!$C$218:$E$222,3,FALSE),0)</f>
        <v>265</v>
      </c>
      <c r="AO12" s="160">
        <f>'C&amp;B'!D14</f>
        <v>14.6</v>
      </c>
      <c r="AP12" s="14">
        <f t="shared" si="7"/>
        <v>4380</v>
      </c>
      <c r="AQ12" s="14">
        <f t="shared" si="1"/>
        <v>3869</v>
      </c>
      <c r="AR12" s="14">
        <f t="shared" si="1"/>
        <v>3869</v>
      </c>
      <c r="AS12" s="14">
        <f t="shared" si="1"/>
        <v>4380</v>
      </c>
      <c r="AT12" s="14">
        <f t="shared" si="1"/>
        <v>4380</v>
      </c>
      <c r="AU12" s="14">
        <f t="shared" si="1"/>
        <v>3869</v>
      </c>
      <c r="AV12" s="14">
        <f t="shared" si="1"/>
        <v>3869</v>
      </c>
      <c r="AW12" s="14">
        <f t="shared" si="1"/>
        <v>4380</v>
      </c>
      <c r="AX12" s="14">
        <f t="shared" si="1"/>
        <v>4380</v>
      </c>
      <c r="AY12" s="14">
        <f t="shared" si="1"/>
        <v>5256</v>
      </c>
      <c r="AZ12" s="14">
        <f t="shared" si="1"/>
        <v>5256</v>
      </c>
      <c r="BA12" s="14">
        <f t="shared" si="1"/>
        <v>5256</v>
      </c>
      <c r="BB12" s="14">
        <f t="shared" si="1"/>
        <v>5256</v>
      </c>
      <c r="BC12" s="14">
        <f t="shared" si="1"/>
        <v>5256</v>
      </c>
      <c r="BD12" s="14">
        <f t="shared" si="1"/>
        <v>5256</v>
      </c>
      <c r="BE12" s="14">
        <f t="shared" si="1"/>
        <v>5256</v>
      </c>
      <c r="BF12" s="14">
        <f t="shared" si="1"/>
        <v>3869</v>
      </c>
    </row>
    <row r="13" spans="2:58">
      <c r="B13" s="59" t="s">
        <v>389</v>
      </c>
      <c r="C13" s="129" t="s">
        <v>25</v>
      </c>
      <c r="D13" s="52">
        <v>0</v>
      </c>
      <c r="E13" s="53">
        <v>0</v>
      </c>
      <c r="F13" s="53">
        <f t="shared" si="2"/>
        <v>0</v>
      </c>
      <c r="G13" s="53">
        <v>0</v>
      </c>
      <c r="H13" s="53">
        <f t="shared" si="2"/>
        <v>0</v>
      </c>
      <c r="I13" s="67">
        <v>0.75</v>
      </c>
      <c r="J13" s="53">
        <f t="shared" si="3"/>
        <v>0.75</v>
      </c>
      <c r="K13" s="67">
        <v>0.75</v>
      </c>
      <c r="L13" s="53">
        <f t="shared" si="4"/>
        <v>0.75</v>
      </c>
      <c r="M13" s="67">
        <v>0.75</v>
      </c>
      <c r="N13" s="53">
        <f t="shared" si="5"/>
        <v>0.75</v>
      </c>
      <c r="O13" s="67">
        <v>0.75</v>
      </c>
      <c r="P13" s="53">
        <f t="shared" si="6"/>
        <v>0.75</v>
      </c>
      <c r="Q13" s="67">
        <v>0.75</v>
      </c>
      <c r="R13" s="53">
        <f t="shared" si="6"/>
        <v>0.75</v>
      </c>
      <c r="S13" s="68">
        <v>0</v>
      </c>
      <c r="T13" s="134">
        <f>INPUT!C33</f>
        <v>0</v>
      </c>
      <c r="U13" s="50"/>
      <c r="V13" s="138" t="s">
        <v>696</v>
      </c>
      <c r="W13" s="50">
        <v>0</v>
      </c>
      <c r="X13" s="50">
        <v>0</v>
      </c>
      <c r="Y13" s="50">
        <v>0</v>
      </c>
      <c r="Z13" s="50">
        <v>0</v>
      </c>
      <c r="AA13" s="50">
        <v>0</v>
      </c>
      <c r="AB13" s="50">
        <v>0</v>
      </c>
      <c r="AC13" s="50">
        <v>0</v>
      </c>
      <c r="AD13" s="50">
        <v>0</v>
      </c>
      <c r="AE13" s="50">
        <v>0</v>
      </c>
      <c r="AF13" s="50">
        <v>0</v>
      </c>
      <c r="AG13" s="50">
        <v>0</v>
      </c>
      <c r="AH13" s="50">
        <v>0</v>
      </c>
      <c r="AI13" s="50">
        <v>0</v>
      </c>
      <c r="AJ13" s="50">
        <v>0</v>
      </c>
      <c r="AK13" s="50">
        <v>0</v>
      </c>
      <c r="AL13" s="50">
        <v>0</v>
      </c>
      <c r="AM13" s="50">
        <v>0</v>
      </c>
      <c r="AO13" s="160">
        <f>'C&amp;B'!D13</f>
        <v>84.4</v>
      </c>
      <c r="AP13" s="14">
        <f t="shared" si="7"/>
        <v>0</v>
      </c>
      <c r="AQ13" s="14">
        <f t="shared" si="1"/>
        <v>0</v>
      </c>
      <c r="AR13" s="14">
        <f t="shared" si="1"/>
        <v>0</v>
      </c>
      <c r="AS13" s="14">
        <f t="shared" si="1"/>
        <v>0</v>
      </c>
      <c r="AT13" s="14">
        <f t="shared" si="1"/>
        <v>0</v>
      </c>
      <c r="AU13" s="14">
        <f t="shared" si="1"/>
        <v>0</v>
      </c>
      <c r="AV13" s="14">
        <f t="shared" si="1"/>
        <v>0</v>
      </c>
      <c r="AW13" s="14">
        <f t="shared" si="1"/>
        <v>0</v>
      </c>
      <c r="AX13" s="14">
        <f t="shared" si="1"/>
        <v>0</v>
      </c>
      <c r="AY13" s="14">
        <f t="shared" si="1"/>
        <v>0</v>
      </c>
      <c r="AZ13" s="14">
        <f t="shared" si="1"/>
        <v>0</v>
      </c>
      <c r="BA13" s="14">
        <f t="shared" si="1"/>
        <v>0</v>
      </c>
      <c r="BB13" s="14">
        <f t="shared" si="1"/>
        <v>0</v>
      </c>
      <c r="BC13" s="14">
        <f t="shared" si="1"/>
        <v>0</v>
      </c>
      <c r="BD13" s="14">
        <f t="shared" si="1"/>
        <v>0</v>
      </c>
      <c r="BE13" s="14">
        <f t="shared" si="1"/>
        <v>0</v>
      </c>
      <c r="BF13" s="14">
        <f t="shared" si="1"/>
        <v>0</v>
      </c>
    </row>
    <row r="14" spans="2:58">
      <c r="B14" s="59" t="s">
        <v>143</v>
      </c>
      <c r="C14" s="129" t="s">
        <v>144</v>
      </c>
      <c r="D14" s="52">
        <v>5</v>
      </c>
      <c r="E14" s="53">
        <f>'C&amp;B'!D59</f>
        <v>5</v>
      </c>
      <c r="F14" s="53">
        <f t="shared" si="2"/>
        <v>5</v>
      </c>
      <c r="G14" s="53">
        <f>'C&amp;B'!E59</f>
        <v>5</v>
      </c>
      <c r="H14" s="53">
        <f t="shared" si="2"/>
        <v>5</v>
      </c>
      <c r="I14" s="53">
        <f>G14</f>
        <v>5</v>
      </c>
      <c r="J14" s="53">
        <f>G14</f>
        <v>5</v>
      </c>
      <c r="K14" s="53">
        <f>'C&amp;B'!G59</f>
        <v>3</v>
      </c>
      <c r="L14" s="53">
        <f t="shared" si="4"/>
        <v>3</v>
      </c>
      <c r="M14" s="53">
        <f>'C&amp;B'!G59</f>
        <v>3</v>
      </c>
      <c r="N14" s="53">
        <f t="shared" si="5"/>
        <v>3</v>
      </c>
      <c r="O14" s="53">
        <f>'C&amp;B'!H59</f>
        <v>2</v>
      </c>
      <c r="P14" s="53">
        <f t="shared" si="6"/>
        <v>2</v>
      </c>
      <c r="Q14" s="53">
        <f>'C&amp;B'!I59</f>
        <v>1</v>
      </c>
      <c r="R14" s="53">
        <f t="shared" si="6"/>
        <v>1</v>
      </c>
      <c r="S14" s="52">
        <v>5</v>
      </c>
      <c r="T14" s="134">
        <f>INPUT!C31</f>
        <v>5</v>
      </c>
      <c r="U14" s="50"/>
      <c r="V14" s="138" t="s">
        <v>697</v>
      </c>
      <c r="W14" s="50">
        <f>IF(ISNUMBER(D14),VLOOKUP(D14,'C&amp;B'!$C$224:$E$228,3,FALSE),0)</f>
        <v>2</v>
      </c>
      <c r="X14" s="50">
        <f>IF(ISNUMBER(E14),VLOOKUP(E14,'C&amp;B'!$C$224:$E$228,3,FALSE),0)</f>
        <v>2</v>
      </c>
      <c r="Y14" s="50">
        <f>IF(ISNUMBER(F14),VLOOKUP(F14,'C&amp;B'!$C$224:$E$228,3,FALSE),0)</f>
        <v>2</v>
      </c>
      <c r="Z14" s="50">
        <f>IF(ISNUMBER(G14),VLOOKUP(G14,'C&amp;B'!$C$224:$E$228,3,FALSE),0)</f>
        <v>2</v>
      </c>
      <c r="AA14" s="50">
        <f>IF(ISNUMBER(H14),VLOOKUP(H14,'C&amp;B'!$C$224:$E$228,3,FALSE),0)</f>
        <v>2</v>
      </c>
      <c r="AB14" s="50">
        <f>IF(ISNUMBER(I14),VLOOKUP(I14,'C&amp;B'!$C$224:$E$228,3,FALSE),0)</f>
        <v>2</v>
      </c>
      <c r="AC14" s="50">
        <f>IF(ISNUMBER(J14),VLOOKUP(J14,'C&amp;B'!$C$224:$E$228,3,FALSE),0)</f>
        <v>2</v>
      </c>
      <c r="AD14" s="50">
        <f>IF(ISNUMBER(K14),VLOOKUP(K14,'C&amp;B'!$C$224:$E$228,3,FALSE),0)</f>
        <v>5</v>
      </c>
      <c r="AE14" s="50">
        <f>IF(ISNUMBER(L14),VLOOKUP(L14,'C&amp;B'!$C$224:$E$228,3,FALSE),0)</f>
        <v>5</v>
      </c>
      <c r="AF14" s="50">
        <f>IF(ISNUMBER(M14),VLOOKUP(M14,'C&amp;B'!$C$224:$E$228,3,FALSE),0)</f>
        <v>5</v>
      </c>
      <c r="AG14" s="50">
        <f>IF(ISNUMBER(N14),VLOOKUP(N14,'C&amp;B'!$C$224:$E$228,3,FALSE),0)</f>
        <v>5</v>
      </c>
      <c r="AH14" s="50">
        <f>IF(ISNUMBER(O14),VLOOKUP(O14,'C&amp;B'!$C$224:$E$228,3,FALSE),0)</f>
        <v>6</v>
      </c>
      <c r="AI14" s="50">
        <f>IF(ISNUMBER(P14),VLOOKUP(P14,'C&amp;B'!$C$224:$E$228,3,FALSE),0)</f>
        <v>6</v>
      </c>
      <c r="AJ14" s="50">
        <f>IF(ISNUMBER(Q14),VLOOKUP(Q14,'C&amp;B'!$C$224:$E$228,3,FALSE),0)</f>
        <v>8</v>
      </c>
      <c r="AK14" s="50">
        <f>IF(ISNUMBER(R14),VLOOKUP(R14,'C&amp;B'!$C$224:$E$228,3,FALSE),0)</f>
        <v>8</v>
      </c>
      <c r="AL14" s="50">
        <f>IF(ISNUMBER(S14),VLOOKUP(S14,'C&amp;B'!$C$224:$E$228,3,FALSE),0)</f>
        <v>2</v>
      </c>
      <c r="AM14" s="50">
        <f>IF(ISNUMBER(T14),VLOOKUP(T14,'C&amp;B'!$C$224:$E$228,3,FALSE),0)</f>
        <v>2</v>
      </c>
      <c r="AO14" s="160">
        <v>1</v>
      </c>
      <c r="AP14" s="14">
        <f t="shared" si="7"/>
        <v>2</v>
      </c>
      <c r="AQ14" s="14">
        <f t="shared" si="1"/>
        <v>2</v>
      </c>
      <c r="AR14" s="14">
        <f t="shared" si="1"/>
        <v>2</v>
      </c>
      <c r="AS14" s="14">
        <f t="shared" si="1"/>
        <v>2</v>
      </c>
      <c r="AT14" s="14">
        <f t="shared" si="1"/>
        <v>2</v>
      </c>
      <c r="AU14" s="14">
        <f t="shared" si="1"/>
        <v>2</v>
      </c>
      <c r="AV14" s="14">
        <f t="shared" si="1"/>
        <v>2</v>
      </c>
      <c r="AW14" s="14">
        <f t="shared" si="1"/>
        <v>5</v>
      </c>
      <c r="AX14" s="14">
        <f t="shared" si="1"/>
        <v>5</v>
      </c>
      <c r="AY14" s="14">
        <f t="shared" si="1"/>
        <v>5</v>
      </c>
      <c r="AZ14" s="14">
        <f t="shared" si="1"/>
        <v>5</v>
      </c>
      <c r="BA14" s="14">
        <f t="shared" si="1"/>
        <v>6</v>
      </c>
      <c r="BB14" s="14">
        <f t="shared" si="1"/>
        <v>6</v>
      </c>
      <c r="BC14" s="14">
        <f t="shared" si="1"/>
        <v>8</v>
      </c>
      <c r="BD14" s="14">
        <f t="shared" si="1"/>
        <v>8</v>
      </c>
      <c r="BE14" s="14">
        <f t="shared" si="1"/>
        <v>2</v>
      </c>
      <c r="BF14" s="14">
        <f t="shared" si="1"/>
        <v>2</v>
      </c>
    </row>
    <row r="15" spans="2:58">
      <c r="B15" s="59" t="s">
        <v>145</v>
      </c>
      <c r="C15" s="129" t="s">
        <v>146</v>
      </c>
      <c r="D15" s="52">
        <v>0.05</v>
      </c>
      <c r="E15" s="53">
        <f>'C&amp;B'!D60</f>
        <v>0.05</v>
      </c>
      <c r="F15" s="53">
        <f t="shared" si="2"/>
        <v>0.05</v>
      </c>
      <c r="G15" s="53">
        <f>'C&amp;B'!E60</f>
        <v>0.04</v>
      </c>
      <c r="H15" s="53">
        <f t="shared" si="2"/>
        <v>0.04</v>
      </c>
      <c r="I15" s="53">
        <f>'C&amp;B'!F60</f>
        <v>0.05</v>
      </c>
      <c r="J15" s="53">
        <f t="shared" si="3"/>
        <v>0.05</v>
      </c>
      <c r="K15" s="53">
        <f>'C&amp;B'!G60</f>
        <v>0.05</v>
      </c>
      <c r="L15" s="53">
        <f t="shared" si="4"/>
        <v>0.05</v>
      </c>
      <c r="M15" s="53">
        <f>'C&amp;B'!H60</f>
        <v>0.04</v>
      </c>
      <c r="N15" s="53">
        <f t="shared" si="5"/>
        <v>0.04</v>
      </c>
      <c r="O15" s="53">
        <f>'C&amp;B'!I60</f>
        <v>0.04</v>
      </c>
      <c r="P15" s="53">
        <f t="shared" si="6"/>
        <v>0.04</v>
      </c>
      <c r="Q15" s="53">
        <f>'C&amp;B'!J60</f>
        <v>0.04</v>
      </c>
      <c r="R15" s="53">
        <f t="shared" si="6"/>
        <v>0.04</v>
      </c>
      <c r="S15" s="52">
        <v>0.05</v>
      </c>
      <c r="T15" s="54">
        <f>S15</f>
        <v>0.05</v>
      </c>
      <c r="U15" s="50"/>
      <c r="V15" s="138" t="s">
        <v>696</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O15" s="160">
        <v>1</v>
      </c>
      <c r="AP15" s="14">
        <f t="shared" si="7"/>
        <v>0</v>
      </c>
      <c r="AQ15" s="14">
        <f t="shared" si="1"/>
        <v>0</v>
      </c>
      <c r="AR15" s="14">
        <f t="shared" si="1"/>
        <v>0</v>
      </c>
      <c r="AS15" s="14">
        <f t="shared" si="1"/>
        <v>0</v>
      </c>
      <c r="AT15" s="14">
        <f t="shared" si="1"/>
        <v>0</v>
      </c>
      <c r="AU15" s="14">
        <f t="shared" si="1"/>
        <v>0</v>
      </c>
      <c r="AV15" s="14">
        <f t="shared" si="1"/>
        <v>0</v>
      </c>
      <c r="AW15" s="14">
        <f t="shared" si="1"/>
        <v>0</v>
      </c>
      <c r="AX15" s="14">
        <f t="shared" si="1"/>
        <v>0</v>
      </c>
      <c r="AY15" s="14">
        <f t="shared" si="1"/>
        <v>0</v>
      </c>
      <c r="AZ15" s="14">
        <f t="shared" si="1"/>
        <v>0</v>
      </c>
      <c r="BA15" s="14">
        <f t="shared" si="1"/>
        <v>0</v>
      </c>
      <c r="BB15" s="14">
        <f t="shared" si="1"/>
        <v>0</v>
      </c>
      <c r="BC15" s="14">
        <f t="shared" si="1"/>
        <v>0</v>
      </c>
      <c r="BD15" s="14">
        <f t="shared" si="1"/>
        <v>0</v>
      </c>
      <c r="BE15" s="14">
        <f t="shared" si="1"/>
        <v>0</v>
      </c>
      <c r="BF15" s="14">
        <f t="shared" si="1"/>
        <v>0</v>
      </c>
    </row>
    <row r="16" spans="2:58">
      <c r="B16" s="59" t="s">
        <v>387</v>
      </c>
      <c r="C16" s="129" t="s">
        <v>25</v>
      </c>
      <c r="D16" s="72">
        <f>IF(D4="Gas",SAP!$C$13,SAP!$C$18)</f>
        <v>0.89500000000000002</v>
      </c>
      <c r="E16" s="72">
        <f>IF(E4="Gas",SAP!$C$13,SAP!$C$18)</f>
        <v>0.89500000000000002</v>
      </c>
      <c r="F16" s="72">
        <f>IF(F4="Gas",SAP!$C$13,SAP!$C$18)</f>
        <v>3.3999999999999986</v>
      </c>
      <c r="G16" s="72">
        <f>IF(G4="Gas",SAP!$C$13,SAP!$C$18)</f>
        <v>0.89500000000000002</v>
      </c>
      <c r="H16" s="72">
        <f>IF(H4="Gas",SAP!$C$13,SAP!$C$18)</f>
        <v>3.3999999999999986</v>
      </c>
      <c r="I16" s="72">
        <f>IF(I4="Gas",SAP!$C$13,SAP!$C$18)</f>
        <v>0.89500000000000002</v>
      </c>
      <c r="J16" s="72">
        <f>IF(J4="Gas",SAP!$C$13,SAP!$C$18)</f>
        <v>3.3999999999999986</v>
      </c>
      <c r="K16" s="72">
        <f>IF(K4="Gas",SAP!$C$13,SAP!$C$18)</f>
        <v>0.89500000000000002</v>
      </c>
      <c r="L16" s="72">
        <f>IF(L4="Gas",SAP!$C$13,SAP!$C$18)</f>
        <v>3.3999999999999986</v>
      </c>
      <c r="M16" s="72">
        <f>IF(M4="Gas",SAP!$C$13,SAP!$C$18)</f>
        <v>0.89500000000000002</v>
      </c>
      <c r="N16" s="72">
        <f>IF(N4="Gas",SAP!$C$13,SAP!$C$18)</f>
        <v>3.3999999999999986</v>
      </c>
      <c r="O16" s="72">
        <f>IF(O4="Gas",SAP!$C$13,SAP!$C$18)</f>
        <v>0.89500000000000002</v>
      </c>
      <c r="P16" s="72">
        <f>IF(P4="Gas",SAP!$C$13,SAP!$C$18)</f>
        <v>3.3999999999999986</v>
      </c>
      <c r="Q16" s="72">
        <f>IF(Q4="Gas",SAP!$C$13,SAP!$C$18)</f>
        <v>0.89500000000000002</v>
      </c>
      <c r="R16" s="72">
        <f>IF(R4="Gas",SAP!$C$13,SAP!$C$18)</f>
        <v>3.3999999999999986</v>
      </c>
      <c r="S16" s="72">
        <f>IF(S4="Gas",SAP!$C$13,SAP!$C$18)</f>
        <v>3.3999999999999986</v>
      </c>
      <c r="T16" s="72">
        <f>IF(T4="Gas",SAP!$C$13,SAP!$C$18)</f>
        <v>3.3999999999999986</v>
      </c>
      <c r="U16" s="50"/>
      <c r="V16" s="138" t="s">
        <v>696</v>
      </c>
      <c r="W16" s="50">
        <v>0</v>
      </c>
      <c r="X16" s="50">
        <v>0</v>
      </c>
      <c r="Y16" s="50">
        <v>0</v>
      </c>
      <c r="Z16" s="50">
        <v>0</v>
      </c>
      <c r="AA16" s="50">
        <v>0</v>
      </c>
      <c r="AB16" s="50">
        <v>0</v>
      </c>
      <c r="AC16" s="50">
        <v>0</v>
      </c>
      <c r="AD16" s="50">
        <v>0</v>
      </c>
      <c r="AE16" s="50">
        <v>0</v>
      </c>
      <c r="AF16" s="50">
        <v>0</v>
      </c>
      <c r="AG16" s="50">
        <v>0</v>
      </c>
      <c r="AH16" s="50">
        <v>0</v>
      </c>
      <c r="AI16" s="50">
        <v>0</v>
      </c>
      <c r="AJ16" s="50">
        <v>0</v>
      </c>
      <c r="AK16" s="50">
        <v>0</v>
      </c>
      <c r="AL16" s="50">
        <v>0</v>
      </c>
      <c r="AM16" s="50">
        <v>0</v>
      </c>
      <c r="AO16" s="160">
        <v>1</v>
      </c>
      <c r="AP16" s="14">
        <f t="shared" si="7"/>
        <v>0</v>
      </c>
      <c r="AQ16" s="14">
        <f t="shared" si="1"/>
        <v>0</v>
      </c>
      <c r="AR16" s="14">
        <f t="shared" si="1"/>
        <v>0</v>
      </c>
      <c r="AS16" s="14">
        <f t="shared" si="1"/>
        <v>0</v>
      </c>
      <c r="AT16" s="14">
        <f t="shared" si="1"/>
        <v>0</v>
      </c>
      <c r="AU16" s="14">
        <f t="shared" si="1"/>
        <v>0</v>
      </c>
      <c r="AV16" s="14">
        <f t="shared" si="1"/>
        <v>0</v>
      </c>
      <c r="AW16" s="14">
        <f t="shared" si="1"/>
        <v>0</v>
      </c>
      <c r="AX16" s="14">
        <f t="shared" si="1"/>
        <v>0</v>
      </c>
      <c r="AY16" s="14">
        <f t="shared" si="1"/>
        <v>0</v>
      </c>
      <c r="AZ16" s="14">
        <f t="shared" si="1"/>
        <v>0</v>
      </c>
      <c r="BA16" s="14">
        <f t="shared" si="1"/>
        <v>0</v>
      </c>
      <c r="BB16" s="14">
        <f t="shared" si="1"/>
        <v>0</v>
      </c>
      <c r="BC16" s="14">
        <f t="shared" si="1"/>
        <v>0</v>
      </c>
      <c r="BD16" s="14">
        <f t="shared" si="1"/>
        <v>0</v>
      </c>
      <c r="BE16" s="14">
        <f t="shared" si="1"/>
        <v>0</v>
      </c>
      <c r="BF16" s="14">
        <f t="shared" si="1"/>
        <v>0</v>
      </c>
    </row>
    <row r="17" spans="2:58">
      <c r="B17" s="59" t="s">
        <v>388</v>
      </c>
      <c r="C17" s="129" t="s">
        <v>25</v>
      </c>
      <c r="D17" s="72">
        <f>IF(D4="Gas",SAP!$C$13,SAP!$C$19)</f>
        <v>0.89500000000000002</v>
      </c>
      <c r="E17" s="72">
        <f>IF(E4="Gas",SAP!$C$13,SAP!$C$19)</f>
        <v>0.89500000000000002</v>
      </c>
      <c r="F17" s="72">
        <f>IF(F4="Gas",SAP!$C$13,SAP!$C$19)</f>
        <v>2.2999999999999998</v>
      </c>
      <c r="G17" s="72">
        <f>IF(G4="Gas",SAP!$C$13,SAP!$C$19)</f>
        <v>0.89500000000000002</v>
      </c>
      <c r="H17" s="72">
        <f>IF(H4="Gas",SAP!$C$13,SAP!$C$19)</f>
        <v>2.2999999999999998</v>
      </c>
      <c r="I17" s="72">
        <f>IF(I4="Gas",SAP!$C$13,SAP!$C$19)</f>
        <v>0.89500000000000002</v>
      </c>
      <c r="J17" s="72">
        <f>IF(J4="Gas",SAP!$C$13,SAP!$C$19)</f>
        <v>2.2999999999999998</v>
      </c>
      <c r="K17" s="72">
        <f>IF(K4="Gas",SAP!$C$13,SAP!$C$19)</f>
        <v>0.89500000000000002</v>
      </c>
      <c r="L17" s="72">
        <f>IF(L4="Gas",SAP!$C$13,SAP!$C$19)</f>
        <v>2.2999999999999998</v>
      </c>
      <c r="M17" s="72">
        <f>IF(M4="Gas",SAP!$C$13,SAP!$C$19)</f>
        <v>0.89500000000000002</v>
      </c>
      <c r="N17" s="72">
        <f>IF(N4="Gas",SAP!$C$13,SAP!$C$19)</f>
        <v>2.2999999999999998</v>
      </c>
      <c r="O17" s="72">
        <f>IF(O4="Gas",SAP!$C$13,SAP!$C$19)</f>
        <v>0.89500000000000002</v>
      </c>
      <c r="P17" s="72">
        <f>IF(P4="Gas",SAP!$C$13,SAP!$C$19)</f>
        <v>2.2999999999999998</v>
      </c>
      <c r="Q17" s="72">
        <f>IF(Q4="Gas",SAP!$C$13,SAP!$C$19)</f>
        <v>0.89500000000000002</v>
      </c>
      <c r="R17" s="72">
        <f>IF(R4="Gas",SAP!$C$13,SAP!$C$19)</f>
        <v>2.2999999999999998</v>
      </c>
      <c r="S17" s="72">
        <f>IF(S4="Gas",SAP!$C$13,SAP!$C$19)</f>
        <v>2.2999999999999998</v>
      </c>
      <c r="T17" s="72">
        <f>IF(T4="Gas",SAP!$C$13,SAP!$C$19)</f>
        <v>2.2999999999999998</v>
      </c>
      <c r="U17" s="50"/>
      <c r="V17" s="138" t="s">
        <v>696</v>
      </c>
      <c r="W17" s="50">
        <v>0</v>
      </c>
      <c r="X17" s="50">
        <v>0</v>
      </c>
      <c r="Y17" s="50">
        <v>0</v>
      </c>
      <c r="Z17" s="50">
        <v>0</v>
      </c>
      <c r="AA17" s="50">
        <v>0</v>
      </c>
      <c r="AB17" s="50">
        <v>0</v>
      </c>
      <c r="AC17" s="50">
        <v>0</v>
      </c>
      <c r="AD17" s="50">
        <v>0</v>
      </c>
      <c r="AE17" s="50">
        <v>0</v>
      </c>
      <c r="AF17" s="50">
        <v>0</v>
      </c>
      <c r="AG17" s="50">
        <v>0</v>
      </c>
      <c r="AH17" s="50">
        <v>0</v>
      </c>
      <c r="AI17" s="50">
        <v>0</v>
      </c>
      <c r="AJ17" s="50">
        <v>0</v>
      </c>
      <c r="AK17" s="50">
        <v>0</v>
      </c>
      <c r="AL17" s="50">
        <v>0</v>
      </c>
      <c r="AM17" s="50">
        <v>0</v>
      </c>
      <c r="AO17" s="160">
        <v>1</v>
      </c>
      <c r="AP17" s="14">
        <f t="shared" si="7"/>
        <v>0</v>
      </c>
      <c r="AQ17" s="14">
        <f t="shared" si="1"/>
        <v>0</v>
      </c>
      <c r="AR17" s="14">
        <f t="shared" si="1"/>
        <v>0</v>
      </c>
      <c r="AS17" s="14">
        <f t="shared" si="1"/>
        <v>0</v>
      </c>
      <c r="AT17" s="14">
        <f t="shared" si="1"/>
        <v>0</v>
      </c>
      <c r="AU17" s="14">
        <f t="shared" si="1"/>
        <v>0</v>
      </c>
      <c r="AV17" s="14">
        <f t="shared" si="1"/>
        <v>0</v>
      </c>
      <c r="AW17" s="14">
        <f t="shared" si="1"/>
        <v>0</v>
      </c>
      <c r="AX17" s="14">
        <f t="shared" si="1"/>
        <v>0</v>
      </c>
      <c r="AY17" s="14">
        <f t="shared" si="1"/>
        <v>0</v>
      </c>
      <c r="AZ17" s="14">
        <f t="shared" si="1"/>
        <v>0</v>
      </c>
      <c r="BA17" s="14">
        <f t="shared" si="1"/>
        <v>0</v>
      </c>
      <c r="BB17" s="14">
        <f t="shared" si="1"/>
        <v>0</v>
      </c>
      <c r="BC17" s="14">
        <f t="shared" si="1"/>
        <v>0</v>
      </c>
      <c r="BD17" s="14">
        <f t="shared" si="1"/>
        <v>0</v>
      </c>
      <c r="BE17" s="14">
        <f t="shared" si="1"/>
        <v>0</v>
      </c>
      <c r="BF17" s="14">
        <f t="shared" si="1"/>
        <v>0</v>
      </c>
    </row>
    <row r="18" spans="2:58">
      <c r="B18" s="59" t="s">
        <v>346</v>
      </c>
      <c r="C18" s="129" t="s">
        <v>345</v>
      </c>
      <c r="D18" s="52" t="str">
        <f t="shared" ref="D18:T18" si="9">D4</f>
        <v>Gas</v>
      </c>
      <c r="E18" s="54" t="str">
        <f t="shared" si="9"/>
        <v>Gas</v>
      </c>
      <c r="F18" s="54" t="str">
        <f t="shared" si="9"/>
        <v>ASHP</v>
      </c>
      <c r="G18" s="54" t="str">
        <f t="shared" si="9"/>
        <v>Gas</v>
      </c>
      <c r="H18" s="54" t="str">
        <f t="shared" si="9"/>
        <v>ASHP</v>
      </c>
      <c r="I18" s="54" t="str">
        <f t="shared" si="9"/>
        <v>Gas</v>
      </c>
      <c r="J18" s="54" t="str">
        <f t="shared" si="9"/>
        <v>ASHP</v>
      </c>
      <c r="K18" s="54" t="str">
        <f t="shared" si="9"/>
        <v>Gas</v>
      </c>
      <c r="L18" s="54" t="str">
        <f t="shared" si="9"/>
        <v>ASHP</v>
      </c>
      <c r="M18" s="54" t="str">
        <f t="shared" si="9"/>
        <v>Gas</v>
      </c>
      <c r="N18" s="54" t="str">
        <f t="shared" si="9"/>
        <v>ASHP</v>
      </c>
      <c r="O18" s="54" t="str">
        <f t="shared" si="9"/>
        <v>Gas</v>
      </c>
      <c r="P18" s="54" t="str">
        <f t="shared" si="9"/>
        <v>ASHP</v>
      </c>
      <c r="Q18" s="54" t="str">
        <f t="shared" si="9"/>
        <v>Gas</v>
      </c>
      <c r="R18" s="54" t="str">
        <f t="shared" si="9"/>
        <v>ASHP</v>
      </c>
      <c r="S18" s="52" t="str">
        <f t="shared" si="9"/>
        <v>ASHP</v>
      </c>
      <c r="T18" s="54" t="str">
        <f t="shared" si="9"/>
        <v>ASHP</v>
      </c>
      <c r="U18" s="50"/>
      <c r="V18" s="11" t="s">
        <v>699</v>
      </c>
      <c r="W18" s="50">
        <f>IF(D18="Gas",'C&amp;B'!$E$251,'C&amp;B'!$E$261)</f>
        <v>2006</v>
      </c>
      <c r="X18" s="50">
        <f>IF(E18="Gas",'C&amp;B'!$E$251,'C&amp;B'!$E$261)</f>
        <v>2006</v>
      </c>
      <c r="Y18" s="50">
        <f>IF(F18="Gas",'C&amp;B'!$E$251,'C&amp;B'!$E$261)</f>
        <v>2161</v>
      </c>
      <c r="Z18" s="50">
        <f>IF(G18="Gas",'C&amp;B'!$E$251,'C&amp;B'!$E$261)</f>
        <v>2006</v>
      </c>
      <c r="AA18" s="50">
        <f>IF(H18="Gas",'C&amp;B'!$E$251,'C&amp;B'!$E$261)</f>
        <v>2161</v>
      </c>
      <c r="AB18" s="50">
        <f>IF(I18="Gas",'C&amp;B'!$E$251,'C&amp;B'!$E$261)</f>
        <v>2006</v>
      </c>
      <c r="AC18" s="50">
        <f>IF(J18="Gas",'C&amp;B'!$E$251,'C&amp;B'!$E$261)</f>
        <v>2161</v>
      </c>
      <c r="AD18" s="50">
        <f>IF(K18="Gas",'C&amp;B'!$E$251,'C&amp;B'!$E$261)</f>
        <v>2006</v>
      </c>
      <c r="AE18" s="50">
        <f>IF(L18="Gas",'C&amp;B'!$E$251,'C&amp;B'!$E$261)</f>
        <v>2161</v>
      </c>
      <c r="AF18" s="50">
        <f>IF(M18="Gas",'C&amp;B'!$E$251,'C&amp;B'!$E$261)</f>
        <v>2006</v>
      </c>
      <c r="AG18" s="50">
        <f>IF(N18="Gas",'C&amp;B'!$E$251,'C&amp;B'!$E$261)</f>
        <v>2161</v>
      </c>
      <c r="AH18" s="50">
        <f>IF(O18="Gas",'C&amp;B'!$E$251,'C&amp;B'!$E$261)</f>
        <v>2006</v>
      </c>
      <c r="AI18" s="50">
        <f>IF(P18="Gas",'C&amp;B'!$E$251,'C&amp;B'!$E$261)</f>
        <v>2161</v>
      </c>
      <c r="AJ18" s="50">
        <f>IF(Q18="Gas",'C&amp;B'!$E$251,'C&amp;B'!$E$261)</f>
        <v>2006</v>
      </c>
      <c r="AK18" s="50">
        <f>IF(R18="Gas",'C&amp;B'!$E$251,'C&amp;B'!$E$261)</f>
        <v>2161</v>
      </c>
      <c r="AL18" s="50">
        <f>IF(S18="Gas",'C&amp;B'!$E$251,'C&amp;B'!$E$261)</f>
        <v>2161</v>
      </c>
      <c r="AM18" s="50">
        <f>IF(T18="Gas",'C&amp;B'!$E$251,'C&amp;B'!$E$261)</f>
        <v>2161</v>
      </c>
      <c r="AO18" s="160">
        <v>1</v>
      </c>
      <c r="AP18" s="14">
        <f t="shared" si="7"/>
        <v>2006</v>
      </c>
      <c r="AQ18" s="14">
        <f t="shared" si="1"/>
        <v>2006</v>
      </c>
      <c r="AR18" s="14">
        <f t="shared" si="1"/>
        <v>2161</v>
      </c>
      <c r="AS18" s="14">
        <f t="shared" si="1"/>
        <v>2006</v>
      </c>
      <c r="AT18" s="14">
        <f t="shared" si="1"/>
        <v>2161</v>
      </c>
      <c r="AU18" s="14">
        <f t="shared" si="1"/>
        <v>2006</v>
      </c>
      <c r="AV18" s="14">
        <f t="shared" si="1"/>
        <v>2161</v>
      </c>
      <c r="AW18" s="14">
        <f t="shared" si="1"/>
        <v>2006</v>
      </c>
      <c r="AX18" s="14">
        <f t="shared" si="1"/>
        <v>2161</v>
      </c>
      <c r="AY18" s="14">
        <f t="shared" si="1"/>
        <v>2006</v>
      </c>
      <c r="AZ18" s="14">
        <f t="shared" si="1"/>
        <v>2161</v>
      </c>
      <c r="BA18" s="14">
        <f t="shared" si="1"/>
        <v>2006</v>
      </c>
      <c r="BB18" s="14">
        <f t="shared" si="1"/>
        <v>2161</v>
      </c>
      <c r="BC18" s="14">
        <f t="shared" si="1"/>
        <v>2006</v>
      </c>
      <c r="BD18" s="14">
        <f t="shared" si="1"/>
        <v>2161</v>
      </c>
      <c r="BE18" s="14">
        <f t="shared" si="1"/>
        <v>2161</v>
      </c>
      <c r="BF18" s="14">
        <f t="shared" si="1"/>
        <v>2161</v>
      </c>
    </row>
    <row r="19" spans="2:58">
      <c r="B19" s="59" t="s">
        <v>347</v>
      </c>
      <c r="C19" s="129" t="s">
        <v>345</v>
      </c>
      <c r="D19" s="52" t="str">
        <f>D18</f>
        <v>Gas</v>
      </c>
      <c r="E19" s="54" t="str">
        <f t="shared" ref="E19:T19" si="10">E18</f>
        <v>Gas</v>
      </c>
      <c r="F19" s="54" t="str">
        <f t="shared" si="10"/>
        <v>ASHP</v>
      </c>
      <c r="G19" s="54" t="str">
        <f t="shared" si="10"/>
        <v>Gas</v>
      </c>
      <c r="H19" s="54" t="str">
        <f t="shared" si="10"/>
        <v>ASHP</v>
      </c>
      <c r="I19" s="54" t="str">
        <f t="shared" si="10"/>
        <v>Gas</v>
      </c>
      <c r="J19" s="54" t="str">
        <f t="shared" si="10"/>
        <v>ASHP</v>
      </c>
      <c r="K19" s="54" t="str">
        <f t="shared" si="10"/>
        <v>Gas</v>
      </c>
      <c r="L19" s="54" t="str">
        <f t="shared" si="10"/>
        <v>ASHP</v>
      </c>
      <c r="M19" s="54" t="str">
        <f t="shared" si="10"/>
        <v>Gas</v>
      </c>
      <c r="N19" s="54" t="str">
        <f t="shared" si="10"/>
        <v>ASHP</v>
      </c>
      <c r="O19" s="54" t="str">
        <f t="shared" si="10"/>
        <v>Gas</v>
      </c>
      <c r="P19" s="54" t="str">
        <f t="shared" si="10"/>
        <v>ASHP</v>
      </c>
      <c r="Q19" s="54" t="str">
        <f t="shared" si="10"/>
        <v>Gas</v>
      </c>
      <c r="R19" s="54" t="str">
        <f t="shared" si="10"/>
        <v>ASHP</v>
      </c>
      <c r="S19" s="52" t="str">
        <f>S18</f>
        <v>ASHP</v>
      </c>
      <c r="T19" s="54" t="str">
        <f t="shared" si="10"/>
        <v>ASHP</v>
      </c>
      <c r="U19" s="50"/>
      <c r="V19" s="11" t="s">
        <v>699</v>
      </c>
      <c r="W19" s="50">
        <f>IF(D19="Gas",'C&amp;B'!$E$267,'C&amp;B'!$E$269)</f>
        <v>988</v>
      </c>
      <c r="X19" s="50">
        <f>IF(E19="Gas",'C&amp;B'!$E$267,'C&amp;B'!$E$269)</f>
        <v>988</v>
      </c>
      <c r="Y19" s="50">
        <f>IF(F19="Gas",'C&amp;B'!$E$267,'C&amp;B'!$E$269)</f>
        <v>85</v>
      </c>
      <c r="Z19" s="50">
        <f>IF(G19="Gas",'C&amp;B'!$E$267,'C&amp;B'!$E$269)</f>
        <v>988</v>
      </c>
      <c r="AA19" s="50">
        <f>IF(H19="Gas",'C&amp;B'!$E$267,'C&amp;B'!$E$269)</f>
        <v>85</v>
      </c>
      <c r="AB19" s="50">
        <f>IF(I19="Gas",'C&amp;B'!$E$267,'C&amp;B'!$E$269)</f>
        <v>988</v>
      </c>
      <c r="AC19" s="50">
        <f>IF(J19="Gas",'C&amp;B'!$E$267,'C&amp;B'!$E$269)</f>
        <v>85</v>
      </c>
      <c r="AD19" s="50">
        <f>IF(K19="Gas",'C&amp;B'!$E$267,'C&amp;B'!$E$269)</f>
        <v>988</v>
      </c>
      <c r="AE19" s="50">
        <f>IF(L19="Gas",'C&amp;B'!$E$267,'C&amp;B'!$E$269)</f>
        <v>85</v>
      </c>
      <c r="AF19" s="50">
        <f>IF(M19="Gas",'C&amp;B'!$E$267,'C&amp;B'!$E$269)</f>
        <v>988</v>
      </c>
      <c r="AG19" s="50">
        <f>IF(N19="Gas",'C&amp;B'!$E$267,'C&amp;B'!$E$269)</f>
        <v>85</v>
      </c>
      <c r="AH19" s="50">
        <f>IF(O19="Gas",'C&amp;B'!$E$267,'C&amp;B'!$E$269)</f>
        <v>988</v>
      </c>
      <c r="AI19" s="50">
        <f>IF(P19="Gas",'C&amp;B'!$E$267,'C&amp;B'!$E$269)</f>
        <v>85</v>
      </c>
      <c r="AJ19" s="50">
        <f>IF(Q19="Gas",'C&amp;B'!$E$267,'C&amp;B'!$E$269)</f>
        <v>988</v>
      </c>
      <c r="AK19" s="50">
        <f>IF(R19="Gas",'C&amp;B'!$E$267,'C&amp;B'!$E$269)</f>
        <v>85</v>
      </c>
      <c r="AL19" s="50">
        <f>IF(S19="Gas",'C&amp;B'!$E$267,'C&amp;B'!$E$269)</f>
        <v>85</v>
      </c>
      <c r="AM19" s="50">
        <f>IF(T19="Gas",'C&amp;B'!$E$267,'C&amp;B'!$E$269)</f>
        <v>85</v>
      </c>
      <c r="AO19" s="160">
        <v>1</v>
      </c>
      <c r="AP19" s="14">
        <f t="shared" si="7"/>
        <v>988</v>
      </c>
      <c r="AQ19" s="14">
        <f t="shared" si="1"/>
        <v>988</v>
      </c>
      <c r="AR19" s="14">
        <f t="shared" si="1"/>
        <v>85</v>
      </c>
      <c r="AS19" s="14">
        <f t="shared" si="1"/>
        <v>988</v>
      </c>
      <c r="AT19" s="14">
        <f t="shared" si="1"/>
        <v>85</v>
      </c>
      <c r="AU19" s="14">
        <f t="shared" si="1"/>
        <v>988</v>
      </c>
      <c r="AV19" s="14">
        <f t="shared" si="1"/>
        <v>85</v>
      </c>
      <c r="AW19" s="14">
        <f t="shared" si="1"/>
        <v>988</v>
      </c>
      <c r="AX19" s="14">
        <f t="shared" si="1"/>
        <v>85</v>
      </c>
      <c r="AY19" s="14">
        <f t="shared" si="1"/>
        <v>988</v>
      </c>
      <c r="AZ19" s="14">
        <f t="shared" si="1"/>
        <v>85</v>
      </c>
      <c r="BA19" s="14">
        <f t="shared" si="1"/>
        <v>988</v>
      </c>
      <c r="BB19" s="14">
        <f t="shared" si="1"/>
        <v>85</v>
      </c>
      <c r="BC19" s="14">
        <f t="shared" si="1"/>
        <v>988</v>
      </c>
      <c r="BD19" s="14">
        <f t="shared" si="1"/>
        <v>85</v>
      </c>
      <c r="BE19" s="14">
        <f t="shared" si="1"/>
        <v>85</v>
      </c>
      <c r="BF19" s="14">
        <f t="shared" si="1"/>
        <v>85</v>
      </c>
    </row>
    <row r="20" spans="2:58">
      <c r="B20" s="59" t="s">
        <v>349</v>
      </c>
      <c r="C20" s="129" t="s">
        <v>350</v>
      </c>
      <c r="D20" s="52" t="s">
        <v>365</v>
      </c>
      <c r="E20" s="54" t="s">
        <v>365</v>
      </c>
      <c r="F20" s="54" t="s">
        <v>365</v>
      </c>
      <c r="G20" s="54" t="s">
        <v>365</v>
      </c>
      <c r="H20" s="54" t="s">
        <v>365</v>
      </c>
      <c r="I20" s="54" t="s">
        <v>365</v>
      </c>
      <c r="J20" s="54" t="s">
        <v>365</v>
      </c>
      <c r="K20" s="54" t="s">
        <v>365</v>
      </c>
      <c r="L20" s="54" t="s">
        <v>365</v>
      </c>
      <c r="M20" s="54" t="s">
        <v>365</v>
      </c>
      <c r="N20" s="54" t="s">
        <v>365</v>
      </c>
      <c r="O20" s="54" t="s">
        <v>365</v>
      </c>
      <c r="P20" s="54" t="s">
        <v>365</v>
      </c>
      <c r="Q20" s="54" t="s">
        <v>365</v>
      </c>
      <c r="R20" s="54" t="s">
        <v>365</v>
      </c>
      <c r="S20" s="52" t="s">
        <v>365</v>
      </c>
      <c r="T20" s="54" t="s">
        <v>365</v>
      </c>
      <c r="U20" s="50"/>
      <c r="V20" s="11" t="s">
        <v>699</v>
      </c>
      <c r="W20" s="50">
        <f>IF(D20="Large",'C&amp;B'!$E$292,'C&amp;B'!$E$287)</f>
        <v>900</v>
      </c>
      <c r="X20" s="50">
        <f>IF(E20="Large",'C&amp;B'!$E$292,'C&amp;B'!$E$287)</f>
        <v>900</v>
      </c>
      <c r="Y20" s="50">
        <f>IF(F20="Large",'C&amp;B'!$E$292,'C&amp;B'!$E$287)</f>
        <v>900</v>
      </c>
      <c r="Z20" s="50">
        <f>IF(G20="Large",'C&amp;B'!$E$292,'C&amp;B'!$E$287)</f>
        <v>900</v>
      </c>
      <c r="AA20" s="50">
        <f>IF(H20="Large",'C&amp;B'!$E$292,'C&amp;B'!$E$287)</f>
        <v>900</v>
      </c>
      <c r="AB20" s="50">
        <f>IF(I20="Large",'C&amp;B'!$E$292,'C&amp;B'!$E$287)</f>
        <v>900</v>
      </c>
      <c r="AC20" s="50">
        <f>IF(J20="Large",'C&amp;B'!$E$292,'C&amp;B'!$E$287)</f>
        <v>900</v>
      </c>
      <c r="AD20" s="50">
        <f>IF(K20="Large",'C&amp;B'!$E$292,'C&amp;B'!$E$287)</f>
        <v>900</v>
      </c>
      <c r="AE20" s="50">
        <f>IF(L20="Large",'C&amp;B'!$E$292,'C&amp;B'!$E$287)</f>
        <v>900</v>
      </c>
      <c r="AF20" s="50">
        <f>IF(M20="Large",'C&amp;B'!$E$292,'C&amp;B'!$E$287)</f>
        <v>900</v>
      </c>
      <c r="AG20" s="50">
        <f>IF(N20="Large",'C&amp;B'!$E$292,'C&amp;B'!$E$287)</f>
        <v>900</v>
      </c>
      <c r="AH20" s="50">
        <f>IF(O20="Large",'C&amp;B'!$E$292,'C&amp;B'!$E$287)</f>
        <v>900</v>
      </c>
      <c r="AI20" s="50">
        <f>IF(P20="Large",'C&amp;B'!$E$292,'C&amp;B'!$E$287)</f>
        <v>900</v>
      </c>
      <c r="AJ20" s="50">
        <f>IF(Q20="Large",'C&amp;B'!$E$292,'C&amp;B'!$E$287)</f>
        <v>900</v>
      </c>
      <c r="AK20" s="50">
        <f>IF(R20="Large",'C&amp;B'!$E$292,'C&amp;B'!$E$287)</f>
        <v>900</v>
      </c>
      <c r="AL20" s="50">
        <f>IF(S20="Large",'C&amp;B'!$E$292,'C&amp;B'!$E$287)</f>
        <v>900</v>
      </c>
      <c r="AM20" s="50">
        <f>IF(T20="Large",'C&amp;B'!$E$292,'C&amp;B'!$E$287)</f>
        <v>900</v>
      </c>
      <c r="AO20" s="160">
        <v>1</v>
      </c>
      <c r="AP20" s="14">
        <f t="shared" si="7"/>
        <v>900</v>
      </c>
      <c r="AQ20" s="14">
        <f t="shared" si="7"/>
        <v>900</v>
      </c>
      <c r="AR20" s="14">
        <f t="shared" si="7"/>
        <v>900</v>
      </c>
      <c r="AS20" s="14">
        <f t="shared" si="7"/>
        <v>900</v>
      </c>
      <c r="AT20" s="14">
        <f t="shared" si="7"/>
        <v>900</v>
      </c>
      <c r="AU20" s="14">
        <f t="shared" si="7"/>
        <v>900</v>
      </c>
      <c r="AV20" s="14">
        <f t="shared" si="7"/>
        <v>900</v>
      </c>
      <c r="AW20" s="14">
        <f t="shared" si="7"/>
        <v>900</v>
      </c>
      <c r="AX20" s="14">
        <f t="shared" si="7"/>
        <v>900</v>
      </c>
      <c r="AY20" s="14">
        <f t="shared" si="7"/>
        <v>900</v>
      </c>
      <c r="AZ20" s="14">
        <f t="shared" si="7"/>
        <v>900</v>
      </c>
      <c r="BA20" s="14">
        <f t="shared" si="7"/>
        <v>900</v>
      </c>
      <c r="BB20" s="14">
        <f t="shared" si="7"/>
        <v>900</v>
      </c>
      <c r="BC20" s="14">
        <f t="shared" si="7"/>
        <v>900</v>
      </c>
      <c r="BD20" s="14">
        <f t="shared" si="7"/>
        <v>900</v>
      </c>
      <c r="BE20" s="14">
        <f t="shared" si="7"/>
        <v>900</v>
      </c>
      <c r="BF20" s="14">
        <f t="shared" ref="BF20:BF26" si="11">$AO20*AM20</f>
        <v>900</v>
      </c>
    </row>
    <row r="21" spans="2:58">
      <c r="B21" s="59" t="s">
        <v>352</v>
      </c>
      <c r="C21" s="129" t="s">
        <v>367</v>
      </c>
      <c r="D21" s="52" t="s">
        <v>366</v>
      </c>
      <c r="E21" s="53" t="s">
        <v>366</v>
      </c>
      <c r="F21" s="53" t="s">
        <v>366</v>
      </c>
      <c r="G21" s="53" t="s">
        <v>366</v>
      </c>
      <c r="H21" s="53" t="s">
        <v>366</v>
      </c>
      <c r="I21" s="53" t="s">
        <v>366</v>
      </c>
      <c r="J21" s="53" t="s">
        <v>366</v>
      </c>
      <c r="K21" s="53" t="s">
        <v>366</v>
      </c>
      <c r="L21" s="53" t="s">
        <v>366</v>
      </c>
      <c r="M21" s="53" t="s">
        <v>366</v>
      </c>
      <c r="N21" s="53" t="s">
        <v>366</v>
      </c>
      <c r="O21" s="53" t="s">
        <v>366</v>
      </c>
      <c r="P21" s="53" t="s">
        <v>366</v>
      </c>
      <c r="Q21" s="53" t="s">
        <v>366</v>
      </c>
      <c r="R21" s="53" t="s">
        <v>366</v>
      </c>
      <c r="S21" s="52" t="s">
        <v>366</v>
      </c>
      <c r="T21" s="53" t="s">
        <v>366</v>
      </c>
      <c r="U21" s="50"/>
      <c r="V21" s="138" t="s">
        <v>696</v>
      </c>
      <c r="W21" s="50">
        <v>0</v>
      </c>
      <c r="X21" s="50">
        <v>0</v>
      </c>
      <c r="Y21" s="50">
        <v>0</v>
      </c>
      <c r="Z21" s="50">
        <v>0</v>
      </c>
      <c r="AA21" s="50">
        <v>0</v>
      </c>
      <c r="AB21" s="50">
        <v>0</v>
      </c>
      <c r="AC21" s="50">
        <v>0</v>
      </c>
      <c r="AD21" s="50">
        <v>0</v>
      </c>
      <c r="AE21" s="50">
        <v>0</v>
      </c>
      <c r="AF21" s="50">
        <v>0</v>
      </c>
      <c r="AG21" s="50">
        <v>0</v>
      </c>
      <c r="AH21" s="50">
        <v>0</v>
      </c>
      <c r="AI21" s="50">
        <v>0</v>
      </c>
      <c r="AJ21" s="50">
        <v>0</v>
      </c>
      <c r="AK21" s="50">
        <v>0</v>
      </c>
      <c r="AL21" s="50">
        <v>0</v>
      </c>
      <c r="AM21" s="50">
        <v>0</v>
      </c>
      <c r="AO21" s="160">
        <v>1</v>
      </c>
      <c r="AP21" s="14">
        <f t="shared" si="7"/>
        <v>0</v>
      </c>
      <c r="AQ21" s="14">
        <f t="shared" si="7"/>
        <v>0</v>
      </c>
      <c r="AR21" s="14">
        <f t="shared" si="7"/>
        <v>0</v>
      </c>
      <c r="AS21" s="14">
        <f t="shared" si="7"/>
        <v>0</v>
      </c>
      <c r="AT21" s="14">
        <f t="shared" si="7"/>
        <v>0</v>
      </c>
      <c r="AU21" s="14">
        <f t="shared" si="7"/>
        <v>0</v>
      </c>
      <c r="AV21" s="14">
        <f t="shared" si="7"/>
        <v>0</v>
      </c>
      <c r="AW21" s="14">
        <f t="shared" si="7"/>
        <v>0</v>
      </c>
      <c r="AX21" s="14">
        <f t="shared" si="7"/>
        <v>0</v>
      </c>
      <c r="AY21" s="14">
        <f t="shared" si="7"/>
        <v>0</v>
      </c>
      <c r="AZ21" s="14">
        <f t="shared" si="7"/>
        <v>0</v>
      </c>
      <c r="BA21" s="14">
        <f t="shared" si="7"/>
        <v>0</v>
      </c>
      <c r="BB21" s="14">
        <f t="shared" si="7"/>
        <v>0</v>
      </c>
      <c r="BC21" s="14">
        <f t="shared" si="7"/>
        <v>0</v>
      </c>
      <c r="BD21" s="14">
        <f t="shared" si="7"/>
        <v>0</v>
      </c>
      <c r="BE21" s="14">
        <f t="shared" si="7"/>
        <v>0</v>
      </c>
      <c r="BF21" s="14">
        <f t="shared" si="11"/>
        <v>0</v>
      </c>
    </row>
    <row r="22" spans="2:58">
      <c r="B22" s="59" t="s">
        <v>353</v>
      </c>
      <c r="C22" s="129" t="s">
        <v>354</v>
      </c>
      <c r="D22" s="52" t="s">
        <v>366</v>
      </c>
      <c r="E22" s="53" t="s">
        <v>366</v>
      </c>
      <c r="F22" s="53" t="s">
        <v>366</v>
      </c>
      <c r="G22" s="53" t="s">
        <v>366</v>
      </c>
      <c r="H22" s="53" t="s">
        <v>366</v>
      </c>
      <c r="I22" s="53" t="s">
        <v>366</v>
      </c>
      <c r="J22" s="53" t="s">
        <v>366</v>
      </c>
      <c r="K22" s="53" t="s">
        <v>366</v>
      </c>
      <c r="L22" s="53" t="s">
        <v>366</v>
      </c>
      <c r="M22" s="53" t="s">
        <v>366</v>
      </c>
      <c r="N22" s="53" t="s">
        <v>366</v>
      </c>
      <c r="O22" s="53" t="s">
        <v>366</v>
      </c>
      <c r="P22" s="53" t="s">
        <v>366</v>
      </c>
      <c r="Q22" s="53" t="s">
        <v>366</v>
      </c>
      <c r="R22" s="53" t="s">
        <v>366</v>
      </c>
      <c r="S22" s="52" t="s">
        <v>366</v>
      </c>
      <c r="T22" s="53" t="s">
        <v>366</v>
      </c>
      <c r="U22" s="50"/>
      <c r="V22" s="138" t="s">
        <v>696</v>
      </c>
      <c r="W22" s="50">
        <v>0</v>
      </c>
      <c r="X22" s="50">
        <v>0</v>
      </c>
      <c r="Y22" s="50">
        <v>0</v>
      </c>
      <c r="Z22" s="50">
        <v>0</v>
      </c>
      <c r="AA22" s="50">
        <v>0</v>
      </c>
      <c r="AB22" s="50">
        <v>0</v>
      </c>
      <c r="AC22" s="50">
        <v>0</v>
      </c>
      <c r="AD22" s="50">
        <v>0</v>
      </c>
      <c r="AE22" s="50">
        <v>0</v>
      </c>
      <c r="AF22" s="50">
        <v>0</v>
      </c>
      <c r="AG22" s="50">
        <v>0</v>
      </c>
      <c r="AH22" s="50">
        <v>0</v>
      </c>
      <c r="AI22" s="50">
        <v>0</v>
      </c>
      <c r="AJ22" s="50">
        <v>0</v>
      </c>
      <c r="AK22" s="50">
        <v>0</v>
      </c>
      <c r="AL22" s="50">
        <v>0</v>
      </c>
      <c r="AM22" s="50">
        <v>0</v>
      </c>
      <c r="AO22" s="160">
        <v>1</v>
      </c>
      <c r="AP22" s="14">
        <f t="shared" si="7"/>
        <v>0</v>
      </c>
      <c r="AQ22" s="14">
        <f t="shared" si="7"/>
        <v>0</v>
      </c>
      <c r="AR22" s="14">
        <f t="shared" si="7"/>
        <v>0</v>
      </c>
      <c r="AS22" s="14">
        <f t="shared" si="7"/>
        <v>0</v>
      </c>
      <c r="AT22" s="14">
        <f t="shared" si="7"/>
        <v>0</v>
      </c>
      <c r="AU22" s="14">
        <f t="shared" si="7"/>
        <v>0</v>
      </c>
      <c r="AV22" s="14">
        <f t="shared" si="7"/>
        <v>0</v>
      </c>
      <c r="AW22" s="14">
        <f t="shared" si="7"/>
        <v>0</v>
      </c>
      <c r="AX22" s="14">
        <f t="shared" si="7"/>
        <v>0</v>
      </c>
      <c r="AY22" s="14">
        <f t="shared" si="7"/>
        <v>0</v>
      </c>
      <c r="AZ22" s="14">
        <f t="shared" si="7"/>
        <v>0</v>
      </c>
      <c r="BA22" s="14">
        <f t="shared" si="7"/>
        <v>0</v>
      </c>
      <c r="BB22" s="14">
        <f t="shared" si="7"/>
        <v>0</v>
      </c>
      <c r="BC22" s="14">
        <f t="shared" si="7"/>
        <v>0</v>
      </c>
      <c r="BD22" s="14">
        <f t="shared" si="7"/>
        <v>0</v>
      </c>
      <c r="BE22" s="14">
        <f t="shared" si="7"/>
        <v>0</v>
      </c>
      <c r="BF22" s="14">
        <f t="shared" si="11"/>
        <v>0</v>
      </c>
    </row>
    <row r="23" spans="2:58">
      <c r="B23" s="59" t="s">
        <v>355</v>
      </c>
      <c r="C23" s="129" t="s">
        <v>356</v>
      </c>
      <c r="D23" s="52" t="s">
        <v>366</v>
      </c>
      <c r="E23" s="53" t="s">
        <v>366</v>
      </c>
      <c r="F23" s="53" t="s">
        <v>366</v>
      </c>
      <c r="G23" s="53" t="s">
        <v>366</v>
      </c>
      <c r="H23" s="53" t="s">
        <v>366</v>
      </c>
      <c r="I23" s="53" t="s">
        <v>366</v>
      </c>
      <c r="J23" s="53" t="s">
        <v>366</v>
      </c>
      <c r="K23" s="53" t="s">
        <v>366</v>
      </c>
      <c r="L23" s="53" t="s">
        <v>366</v>
      </c>
      <c r="M23" s="53" t="s">
        <v>366</v>
      </c>
      <c r="N23" s="53" t="s">
        <v>366</v>
      </c>
      <c r="O23" s="53" t="s">
        <v>366</v>
      </c>
      <c r="P23" s="53" t="s">
        <v>366</v>
      </c>
      <c r="Q23" s="53" t="s">
        <v>366</v>
      </c>
      <c r="R23" s="53" t="s">
        <v>366</v>
      </c>
      <c r="S23" s="52" t="s">
        <v>366</v>
      </c>
      <c r="T23" s="53" t="s">
        <v>366</v>
      </c>
      <c r="U23" s="50"/>
      <c r="V23" s="138" t="s">
        <v>696</v>
      </c>
      <c r="W23" s="50">
        <v>0</v>
      </c>
      <c r="X23" s="50">
        <v>0</v>
      </c>
      <c r="Y23" s="50">
        <v>0</v>
      </c>
      <c r="Z23" s="50">
        <v>0</v>
      </c>
      <c r="AA23" s="50">
        <v>0</v>
      </c>
      <c r="AB23" s="50">
        <v>0</v>
      </c>
      <c r="AC23" s="50">
        <v>0</v>
      </c>
      <c r="AD23" s="50">
        <v>0</v>
      </c>
      <c r="AE23" s="50">
        <v>0</v>
      </c>
      <c r="AF23" s="50">
        <v>0</v>
      </c>
      <c r="AG23" s="50">
        <v>0</v>
      </c>
      <c r="AH23" s="50">
        <v>0</v>
      </c>
      <c r="AI23" s="50">
        <v>0</v>
      </c>
      <c r="AJ23" s="50">
        <v>0</v>
      </c>
      <c r="AK23" s="50">
        <v>0</v>
      </c>
      <c r="AL23" s="50">
        <v>0</v>
      </c>
      <c r="AM23" s="50">
        <v>0</v>
      </c>
      <c r="AO23" s="160">
        <v>1</v>
      </c>
      <c r="AP23" s="14">
        <f t="shared" si="7"/>
        <v>0</v>
      </c>
      <c r="AQ23" s="14">
        <f t="shared" si="7"/>
        <v>0</v>
      </c>
      <c r="AR23" s="14">
        <f t="shared" si="7"/>
        <v>0</v>
      </c>
      <c r="AS23" s="14">
        <f t="shared" si="7"/>
        <v>0</v>
      </c>
      <c r="AT23" s="14">
        <f t="shared" si="7"/>
        <v>0</v>
      </c>
      <c r="AU23" s="14">
        <f t="shared" si="7"/>
        <v>0</v>
      </c>
      <c r="AV23" s="14">
        <f t="shared" si="7"/>
        <v>0</v>
      </c>
      <c r="AW23" s="14">
        <f t="shared" si="7"/>
        <v>0</v>
      </c>
      <c r="AX23" s="14">
        <f t="shared" si="7"/>
        <v>0</v>
      </c>
      <c r="AY23" s="14">
        <f t="shared" si="7"/>
        <v>0</v>
      </c>
      <c r="AZ23" s="14">
        <f t="shared" si="7"/>
        <v>0</v>
      </c>
      <c r="BA23" s="14">
        <f t="shared" si="7"/>
        <v>0</v>
      </c>
      <c r="BB23" s="14">
        <f t="shared" si="7"/>
        <v>0</v>
      </c>
      <c r="BC23" s="14">
        <f t="shared" si="7"/>
        <v>0</v>
      </c>
      <c r="BD23" s="14">
        <f t="shared" si="7"/>
        <v>0</v>
      </c>
      <c r="BE23" s="14">
        <f t="shared" si="7"/>
        <v>0</v>
      </c>
      <c r="BF23" s="14">
        <f t="shared" si="11"/>
        <v>0</v>
      </c>
    </row>
    <row r="24" spans="2:58">
      <c r="B24" s="59" t="s">
        <v>357</v>
      </c>
      <c r="C24" s="129" t="s">
        <v>358</v>
      </c>
      <c r="D24" s="52" t="s">
        <v>369</v>
      </c>
      <c r="E24" s="98" t="s">
        <v>366</v>
      </c>
      <c r="F24" s="98" t="s">
        <v>366</v>
      </c>
      <c r="G24" s="98" t="s">
        <v>366</v>
      </c>
      <c r="H24" s="98" t="s">
        <v>366</v>
      </c>
      <c r="I24" s="98" t="s">
        <v>366</v>
      </c>
      <c r="J24" s="98" t="s">
        <v>366</v>
      </c>
      <c r="K24" s="98" t="s">
        <v>366</v>
      </c>
      <c r="L24" s="98" t="s">
        <v>366</v>
      </c>
      <c r="M24" s="98" t="s">
        <v>366</v>
      </c>
      <c r="N24" s="98" t="s">
        <v>366</v>
      </c>
      <c r="O24" s="98" t="s">
        <v>366</v>
      </c>
      <c r="P24" s="98" t="s">
        <v>366</v>
      </c>
      <c r="Q24" s="98" t="s">
        <v>366</v>
      </c>
      <c r="R24" s="98" t="s">
        <v>366</v>
      </c>
      <c r="S24" s="52" t="s">
        <v>366</v>
      </c>
      <c r="T24" s="134" t="str">
        <f>INPUT!C35</f>
        <v>None</v>
      </c>
      <c r="U24" s="50"/>
      <c r="V24" s="11" t="s">
        <v>699</v>
      </c>
      <c r="W24" s="50">
        <f>IF(D24="Yes",'C&amp;B'!$E$313,0)</f>
        <v>400</v>
      </c>
      <c r="X24" s="50">
        <f>IF(E24="Yes",'C&amp;B'!$E$313,0)</f>
        <v>0</v>
      </c>
      <c r="Y24" s="50">
        <f>IF(F24="Yes",'C&amp;B'!$E$313,0)</f>
        <v>0</v>
      </c>
      <c r="Z24" s="50">
        <f>IF(G24="Yes",'C&amp;B'!$E$313,0)</f>
        <v>0</v>
      </c>
      <c r="AA24" s="50">
        <f>IF(H24="Yes",'C&amp;B'!$E$313,0)</f>
        <v>0</v>
      </c>
      <c r="AB24" s="50">
        <f>IF(I24="Yes",'C&amp;B'!$E$313,0)</f>
        <v>0</v>
      </c>
      <c r="AC24" s="50">
        <f>IF(J24="Yes",'C&amp;B'!$E$313,0)</f>
        <v>0</v>
      </c>
      <c r="AD24" s="50">
        <f>IF(K24="Yes",'C&amp;B'!$E$313,0)</f>
        <v>0</v>
      </c>
      <c r="AE24" s="50">
        <f>IF(L24="Yes",'C&amp;B'!$E$313,0)</f>
        <v>0</v>
      </c>
      <c r="AF24" s="50">
        <f>IF(M24="Yes",'C&amp;B'!$E$313,0)</f>
        <v>0</v>
      </c>
      <c r="AG24" s="50">
        <f>IF(N24="Yes",'C&amp;B'!$E$313,0)</f>
        <v>0</v>
      </c>
      <c r="AH24" s="50">
        <f>IF(O24="Yes",'C&amp;B'!$E$313,0)</f>
        <v>0</v>
      </c>
      <c r="AI24" s="50">
        <f>IF(P24="Yes",'C&amp;B'!$E$313,0)</f>
        <v>0</v>
      </c>
      <c r="AJ24" s="50">
        <f>IF(Q24="Yes",'C&amp;B'!$E$313,0)</f>
        <v>0</v>
      </c>
      <c r="AK24" s="50">
        <f>IF(R24="Yes",'C&amp;B'!$E$313,0)</f>
        <v>0</v>
      </c>
      <c r="AL24" s="50">
        <f>IF(S24="Yes",'C&amp;B'!$E$313,0)</f>
        <v>0</v>
      </c>
      <c r="AM24" s="50">
        <f>IF(T24="Yes",'C&amp;B'!$E$313,0)</f>
        <v>0</v>
      </c>
      <c r="AO24" s="160">
        <v>1</v>
      </c>
      <c r="AP24" s="14">
        <f t="shared" si="7"/>
        <v>400</v>
      </c>
      <c r="AQ24" s="14">
        <f t="shared" si="7"/>
        <v>0</v>
      </c>
      <c r="AR24" s="14">
        <f t="shared" si="7"/>
        <v>0</v>
      </c>
      <c r="AS24" s="14">
        <f t="shared" si="7"/>
        <v>0</v>
      </c>
      <c r="AT24" s="14">
        <f t="shared" si="7"/>
        <v>0</v>
      </c>
      <c r="AU24" s="14">
        <f t="shared" si="7"/>
        <v>0</v>
      </c>
      <c r="AV24" s="14">
        <f t="shared" si="7"/>
        <v>0</v>
      </c>
      <c r="AW24" s="14">
        <f t="shared" si="7"/>
        <v>0</v>
      </c>
      <c r="AX24" s="14">
        <f t="shared" si="7"/>
        <v>0</v>
      </c>
      <c r="AY24" s="14">
        <f t="shared" si="7"/>
        <v>0</v>
      </c>
      <c r="AZ24" s="14">
        <f t="shared" si="7"/>
        <v>0</v>
      </c>
      <c r="BA24" s="14">
        <f t="shared" si="7"/>
        <v>0</v>
      </c>
      <c r="BB24" s="14">
        <f t="shared" si="7"/>
        <v>0</v>
      </c>
      <c r="BC24" s="14">
        <f t="shared" si="7"/>
        <v>0</v>
      </c>
      <c r="BD24" s="14">
        <f t="shared" si="7"/>
        <v>0</v>
      </c>
      <c r="BE24" s="14">
        <f t="shared" si="7"/>
        <v>0</v>
      </c>
      <c r="BF24" s="14">
        <f t="shared" si="11"/>
        <v>0</v>
      </c>
    </row>
    <row r="25" spans="2:58">
      <c r="B25" s="59" t="s">
        <v>370</v>
      </c>
      <c r="C25" s="129" t="s">
        <v>19</v>
      </c>
      <c r="D25" s="52">
        <v>80</v>
      </c>
      <c r="E25" s="54">
        <f>D25</f>
        <v>80</v>
      </c>
      <c r="F25" s="54">
        <f t="shared" ref="F25:T25" si="12">E25</f>
        <v>80</v>
      </c>
      <c r="G25" s="54">
        <f t="shared" si="12"/>
        <v>80</v>
      </c>
      <c r="H25" s="54">
        <f t="shared" si="12"/>
        <v>80</v>
      </c>
      <c r="I25" s="54">
        <f t="shared" si="12"/>
        <v>80</v>
      </c>
      <c r="J25" s="54">
        <f t="shared" si="12"/>
        <v>80</v>
      </c>
      <c r="K25" s="54">
        <f t="shared" si="12"/>
        <v>80</v>
      </c>
      <c r="L25" s="54">
        <f t="shared" si="12"/>
        <v>80</v>
      </c>
      <c r="M25" s="54">
        <f t="shared" si="12"/>
        <v>80</v>
      </c>
      <c r="N25" s="54">
        <f t="shared" si="12"/>
        <v>80</v>
      </c>
      <c r="O25" s="54">
        <f t="shared" si="12"/>
        <v>80</v>
      </c>
      <c r="P25" s="54">
        <f t="shared" si="12"/>
        <v>80</v>
      </c>
      <c r="Q25" s="54">
        <f t="shared" si="12"/>
        <v>80</v>
      </c>
      <c r="R25" s="54">
        <f t="shared" si="12"/>
        <v>80</v>
      </c>
      <c r="S25" s="54">
        <f t="shared" si="12"/>
        <v>80</v>
      </c>
      <c r="T25" s="54">
        <f t="shared" si="12"/>
        <v>80</v>
      </c>
      <c r="U25" s="50"/>
      <c r="V25" s="138" t="s">
        <v>696</v>
      </c>
      <c r="W25" s="50">
        <v>0</v>
      </c>
      <c r="X25" s="50">
        <v>0</v>
      </c>
      <c r="Y25" s="50">
        <v>0</v>
      </c>
      <c r="Z25" s="50">
        <v>0</v>
      </c>
      <c r="AA25" s="50">
        <v>0</v>
      </c>
      <c r="AB25" s="50">
        <v>0</v>
      </c>
      <c r="AC25" s="50">
        <v>0</v>
      </c>
      <c r="AD25" s="50">
        <v>0</v>
      </c>
      <c r="AE25" s="50">
        <v>0</v>
      </c>
      <c r="AF25" s="50">
        <v>0</v>
      </c>
      <c r="AG25" s="50">
        <v>0</v>
      </c>
      <c r="AH25" s="50">
        <v>0</v>
      </c>
      <c r="AI25" s="50">
        <v>0</v>
      </c>
      <c r="AJ25" s="50">
        <v>0</v>
      </c>
      <c r="AK25" s="50">
        <v>0</v>
      </c>
      <c r="AL25" s="50">
        <v>0</v>
      </c>
      <c r="AM25" s="50">
        <v>0</v>
      </c>
      <c r="AO25" s="160">
        <v>1</v>
      </c>
      <c r="AP25" s="14">
        <f t="shared" si="7"/>
        <v>0</v>
      </c>
      <c r="AQ25" s="14">
        <f t="shared" si="7"/>
        <v>0</v>
      </c>
      <c r="AR25" s="14">
        <f t="shared" si="7"/>
        <v>0</v>
      </c>
      <c r="AS25" s="14">
        <f t="shared" si="7"/>
        <v>0</v>
      </c>
      <c r="AT25" s="14">
        <f t="shared" si="7"/>
        <v>0</v>
      </c>
      <c r="AU25" s="14">
        <f t="shared" si="7"/>
        <v>0</v>
      </c>
      <c r="AV25" s="14">
        <f t="shared" si="7"/>
        <v>0</v>
      </c>
      <c r="AW25" s="14">
        <f t="shared" si="7"/>
        <v>0</v>
      </c>
      <c r="AX25" s="14">
        <f t="shared" si="7"/>
        <v>0</v>
      </c>
      <c r="AY25" s="14">
        <f t="shared" si="7"/>
        <v>0</v>
      </c>
      <c r="AZ25" s="14">
        <f t="shared" si="7"/>
        <v>0</v>
      </c>
      <c r="BA25" s="14">
        <f t="shared" si="7"/>
        <v>0</v>
      </c>
      <c r="BB25" s="14">
        <f t="shared" si="7"/>
        <v>0</v>
      </c>
      <c r="BC25" s="14">
        <f t="shared" si="7"/>
        <v>0</v>
      </c>
      <c r="BD25" s="14">
        <f t="shared" si="7"/>
        <v>0</v>
      </c>
      <c r="BE25" s="14">
        <f t="shared" si="7"/>
        <v>0</v>
      </c>
      <c r="BF25" s="14">
        <f t="shared" si="11"/>
        <v>0</v>
      </c>
    </row>
    <row r="26" spans="2:58">
      <c r="B26" s="59" t="s">
        <v>371</v>
      </c>
      <c r="C26" s="129" t="s">
        <v>79</v>
      </c>
      <c r="D26" s="62">
        <f>SAP!D147</f>
        <v>2.6215384615384618</v>
      </c>
      <c r="E26" s="54">
        <v>0</v>
      </c>
      <c r="F26" s="54">
        <v>0</v>
      </c>
      <c r="G26" s="54">
        <v>0</v>
      </c>
      <c r="H26" s="54">
        <v>0</v>
      </c>
      <c r="I26" s="54">
        <v>0</v>
      </c>
      <c r="J26" s="54">
        <v>0</v>
      </c>
      <c r="K26" s="54">
        <v>0</v>
      </c>
      <c r="L26" s="54">
        <v>0</v>
      </c>
      <c r="M26" s="54">
        <v>0</v>
      </c>
      <c r="N26" s="54">
        <v>0</v>
      </c>
      <c r="O26" s="54">
        <v>0</v>
      </c>
      <c r="P26" s="54">
        <v>0</v>
      </c>
      <c r="Q26" s="54">
        <v>0</v>
      </c>
      <c r="R26" s="54">
        <v>0</v>
      </c>
      <c r="S26" s="52">
        <v>0</v>
      </c>
      <c r="T26" s="134">
        <f>INPUT!C36</f>
        <v>0</v>
      </c>
      <c r="U26" s="50"/>
      <c r="V26" s="138" t="s">
        <v>699</v>
      </c>
      <c r="W26" s="143">
        <f>IF(D26=0,0,IF(D26&lt;4,'C&amp;B'!$E$316+(D26*'C&amp;B'!$E$317),D26*'C&amp;B'!$E$318))</f>
        <v>2672.9230769230771</v>
      </c>
      <c r="X26" s="143">
        <f>IF(E26=0,0,IF(E26&lt;4,'C&amp;B'!$E$316+(E26*'C&amp;B'!$E$317),E26*'C&amp;B'!$E$318))</f>
        <v>0</v>
      </c>
      <c r="Y26" s="143">
        <f>IF(F26=0,0,IF(F26&lt;4,'C&amp;B'!$E$316+(F26*'C&amp;B'!$E$317),F26*'C&amp;B'!$E$318))</f>
        <v>0</v>
      </c>
      <c r="Z26" s="143">
        <f>IF(G26=0,0,IF(G26&lt;4,'C&amp;B'!$E$316+(G26*'C&amp;B'!$E$317),G26*'C&amp;B'!$E$318))</f>
        <v>0</v>
      </c>
      <c r="AA26" s="143">
        <f>IF(H26=0,0,IF(H26&lt;4,'C&amp;B'!$E$316+(H26*'C&amp;B'!$E$317),H26*'C&amp;B'!$E$318))</f>
        <v>0</v>
      </c>
      <c r="AB26" s="143">
        <f>IF(I26=0,0,IF(I26&lt;4,'C&amp;B'!$E$316+(I26*'C&amp;B'!$E$317),I26*'C&amp;B'!$E$318))</f>
        <v>0</v>
      </c>
      <c r="AC26" s="143">
        <f>IF(J26=0,0,IF(J26&lt;4,'C&amp;B'!$E$316+(J26*'C&amp;B'!$E$317),J26*'C&amp;B'!$E$318))</f>
        <v>0</v>
      </c>
      <c r="AD26" s="143">
        <f>IF(K26=0,0,IF(K26&lt;4,'C&amp;B'!$E$316+(K26*'C&amp;B'!$E$317),K26*'C&amp;B'!$E$318))</f>
        <v>0</v>
      </c>
      <c r="AE26" s="143">
        <f>IF(L26=0,0,IF(L26&lt;4,'C&amp;B'!$E$316+(L26*'C&amp;B'!$E$317),L26*'C&amp;B'!$E$318))</f>
        <v>0</v>
      </c>
      <c r="AF26" s="143">
        <f>IF(M26=0,0,IF(M26&lt;4,'C&amp;B'!$E$316+(M26*'C&amp;B'!$E$317),M26*'C&amp;B'!$E$318))</f>
        <v>0</v>
      </c>
      <c r="AG26" s="143">
        <f>IF(N26=0,0,IF(N26&lt;4,'C&amp;B'!$E$316+(N26*'C&amp;B'!$E$317),N26*'C&amp;B'!$E$318))</f>
        <v>0</v>
      </c>
      <c r="AH26" s="143">
        <f>IF(O26=0,0,IF(O26&lt;4,'C&amp;B'!$E$316+(O26*'C&amp;B'!$E$317),O26*'C&amp;B'!$E$318))</f>
        <v>0</v>
      </c>
      <c r="AI26" s="143">
        <f>IF(P26=0,0,IF(P26&lt;4,'C&amp;B'!$E$316+(P26*'C&amp;B'!$E$317),P26*'C&amp;B'!$E$318))</f>
        <v>0</v>
      </c>
      <c r="AJ26" s="143">
        <f>IF(Q26=0,0,IF(Q26&lt;4,'C&amp;B'!$E$316+(Q26*'C&amp;B'!$E$317),Q26*'C&amp;B'!$E$318))</f>
        <v>0</v>
      </c>
      <c r="AK26" s="143">
        <f>IF(R26=0,0,IF(R26&lt;4,'C&amp;B'!$E$316+(R26*'C&amp;B'!$E$317),R26*'C&amp;B'!$E$318))</f>
        <v>0</v>
      </c>
      <c r="AL26" s="143">
        <f>IF(S26=0,0,IF(S26&lt;4,'C&amp;B'!$E$316+(S26*'C&amp;B'!$E$317),S26*'C&amp;B'!$E$318))</f>
        <v>0</v>
      </c>
      <c r="AM26" s="143">
        <f>IF(T26=0,0,IF(T26&lt;4,'C&amp;B'!$E$316+(T26*'C&amp;B'!$E$317),T26*'C&amp;B'!$E$318))</f>
        <v>0</v>
      </c>
      <c r="AO26" s="160">
        <v>1</v>
      </c>
      <c r="AP26" s="14">
        <f t="shared" si="7"/>
        <v>2672.9230769230771</v>
      </c>
      <c r="AQ26" s="14">
        <f t="shared" si="7"/>
        <v>0</v>
      </c>
      <c r="AR26" s="14">
        <f t="shared" si="7"/>
        <v>0</v>
      </c>
      <c r="AS26" s="14">
        <f t="shared" si="7"/>
        <v>0</v>
      </c>
      <c r="AT26" s="14">
        <f t="shared" si="7"/>
        <v>0</v>
      </c>
      <c r="AU26" s="14">
        <f t="shared" si="7"/>
        <v>0</v>
      </c>
      <c r="AV26" s="14">
        <f t="shared" si="7"/>
        <v>0</v>
      </c>
      <c r="AW26" s="14">
        <f t="shared" si="7"/>
        <v>0</v>
      </c>
      <c r="AX26" s="14">
        <f t="shared" si="7"/>
        <v>0</v>
      </c>
      <c r="AY26" s="14">
        <f t="shared" si="7"/>
        <v>0</v>
      </c>
      <c r="AZ26" s="14">
        <f t="shared" si="7"/>
        <v>0</v>
      </c>
      <c r="BA26" s="14">
        <f t="shared" si="7"/>
        <v>0</v>
      </c>
      <c r="BB26" s="14">
        <f t="shared" si="7"/>
        <v>0</v>
      </c>
      <c r="BC26" s="14">
        <f t="shared" si="7"/>
        <v>0</v>
      </c>
      <c r="BD26" s="14">
        <f t="shared" si="7"/>
        <v>0</v>
      </c>
      <c r="BE26" s="14">
        <f t="shared" si="7"/>
        <v>0</v>
      </c>
      <c r="BF26" s="14">
        <f t="shared" si="11"/>
        <v>0</v>
      </c>
    </row>
    <row r="27" spans="2:58">
      <c r="B27" s="59" t="s">
        <v>373</v>
      </c>
      <c r="C27" s="129" t="s">
        <v>450</v>
      </c>
      <c r="D27" s="73">
        <f>D87</f>
        <v>40.591058556399986</v>
      </c>
      <c r="E27" s="169">
        <f>'C&amp;B'!C127</f>
        <v>40.159999999999997</v>
      </c>
      <c r="F27" s="169">
        <f>E27</f>
        <v>40.159999999999997</v>
      </c>
      <c r="G27" s="73">
        <f>F87</f>
        <v>40.575501273599997</v>
      </c>
      <c r="H27" s="73">
        <f>G27</f>
        <v>40.575501273599997</v>
      </c>
      <c r="I27" s="73">
        <f>G87</f>
        <v>35.787577110000029</v>
      </c>
      <c r="J27" s="73">
        <f>I27</f>
        <v>35.787577110000029</v>
      </c>
      <c r="K27" s="169">
        <f>'C&amp;B'!C130</f>
        <v>29.35</v>
      </c>
      <c r="L27" s="169">
        <f>K27</f>
        <v>29.35</v>
      </c>
      <c r="M27" s="169">
        <f>'C&amp;B'!C131</f>
        <v>24.24</v>
      </c>
      <c r="N27" s="169">
        <f>M27</f>
        <v>24.24</v>
      </c>
      <c r="O27" s="169">
        <f>'C&amp;B'!C132</f>
        <v>18.89</v>
      </c>
      <c r="P27" s="169">
        <f>O27</f>
        <v>18.89</v>
      </c>
      <c r="Q27" s="169">
        <f>'C&amp;B'!C133</f>
        <v>14.57</v>
      </c>
      <c r="R27" s="169">
        <f>Q27</f>
        <v>14.57</v>
      </c>
      <c r="S27" s="73">
        <f>L87</f>
        <v>40.257133743600065</v>
      </c>
      <c r="T27" s="73">
        <f>$C$92*(M86^2)+(M86*$C$93)+$C$94</f>
        <v>40.582700190000054</v>
      </c>
      <c r="U27" s="50"/>
      <c r="V27" s="138"/>
      <c r="W27" s="50"/>
      <c r="X27" s="50"/>
      <c r="AO27" t="s">
        <v>501</v>
      </c>
      <c r="AP27" s="14">
        <f>SUM(AP4:AP26)</f>
        <v>50255.123076923075</v>
      </c>
      <c r="AQ27" s="14">
        <f t="shared" ref="AQ27:BF27" si="13">SUM(AQ4:AQ26)</f>
        <v>46586</v>
      </c>
      <c r="AR27" s="14">
        <f t="shared" si="13"/>
        <v>47070</v>
      </c>
      <c r="AS27" s="14">
        <f t="shared" si="13"/>
        <v>46800.6</v>
      </c>
      <c r="AT27" s="14">
        <f t="shared" si="13"/>
        <v>47284.6</v>
      </c>
      <c r="AU27" s="14">
        <f t="shared" si="13"/>
        <v>48316</v>
      </c>
      <c r="AV27" s="14">
        <f t="shared" si="13"/>
        <v>48800</v>
      </c>
      <c r="AW27" s="14">
        <f t="shared" si="13"/>
        <v>49000.4</v>
      </c>
      <c r="AX27" s="14">
        <f t="shared" si="13"/>
        <v>49484.399999999994</v>
      </c>
      <c r="AY27" s="14">
        <f t="shared" si="13"/>
        <v>50285.599999999999</v>
      </c>
      <c r="AZ27" s="14">
        <f t="shared" si="13"/>
        <v>50769.599999999999</v>
      </c>
      <c r="BA27" s="14">
        <f t="shared" si="13"/>
        <v>49817.599999999999</v>
      </c>
      <c r="BB27" s="14">
        <f t="shared" si="13"/>
        <v>50301.599999999999</v>
      </c>
      <c r="BC27" s="14">
        <f t="shared" si="13"/>
        <v>50638.399999999994</v>
      </c>
      <c r="BD27" s="14">
        <f t="shared" si="13"/>
        <v>51122.399999999994</v>
      </c>
      <c r="BE27" s="14">
        <f t="shared" si="13"/>
        <v>49036.6</v>
      </c>
      <c r="BF27" s="14">
        <f t="shared" si="13"/>
        <v>47070</v>
      </c>
    </row>
    <row r="28" spans="2:58">
      <c r="B28" s="59" t="s">
        <v>374</v>
      </c>
      <c r="C28" s="129" t="s">
        <v>450</v>
      </c>
      <c r="D28" s="73">
        <f>E28-SAP!C104</f>
        <v>19.502303591382251</v>
      </c>
      <c r="E28" s="169">
        <f>'C&amp;B'!D127</f>
        <v>24.3</v>
      </c>
      <c r="F28" s="169">
        <f>'C&amp;B'!D134</f>
        <v>24.23</v>
      </c>
      <c r="G28" s="169">
        <f>'C&amp;B'!D129</f>
        <v>24.3</v>
      </c>
      <c r="H28" s="169">
        <f>'C&amp;B'!D135</f>
        <v>24.3</v>
      </c>
      <c r="I28" s="169">
        <f>G28</f>
        <v>24.3</v>
      </c>
      <c r="J28" s="169">
        <f>H28</f>
        <v>24.3</v>
      </c>
      <c r="K28" s="169">
        <f>'C&amp;B'!D130</f>
        <v>24.23</v>
      </c>
      <c r="L28" s="169">
        <f>'C&amp;B'!D136</f>
        <v>24.23</v>
      </c>
      <c r="M28" s="169">
        <f>'C&amp;B'!D131</f>
        <v>24.23</v>
      </c>
      <c r="N28" s="169">
        <f>'C&amp;B'!D137</f>
        <v>24.23</v>
      </c>
      <c r="O28" s="169">
        <f>'C&amp;B'!D132</f>
        <v>24.23</v>
      </c>
      <c r="P28" s="169">
        <f>'C&amp;B'!D138</f>
        <v>24.23</v>
      </c>
      <c r="Q28" s="169">
        <f>'C&amp;B'!D133</f>
        <v>24.23</v>
      </c>
      <c r="R28" s="169">
        <f>'C&amp;B'!D139</f>
        <v>24.23</v>
      </c>
      <c r="S28" s="74">
        <f>R28</f>
        <v>24.23</v>
      </c>
      <c r="T28" s="74">
        <f>S28</f>
        <v>24.23</v>
      </c>
      <c r="U28" s="50"/>
      <c r="V28" s="138"/>
      <c r="W28" s="50"/>
      <c r="X28" s="50"/>
      <c r="AO28" t="s">
        <v>704</v>
      </c>
      <c r="AP28" s="14">
        <f>AP27-$AP$27</f>
        <v>0</v>
      </c>
      <c r="AQ28" s="14">
        <f t="shared" ref="AQ28:BF28" si="14">AQ27-$AP$27</f>
        <v>-3669.1230769230751</v>
      </c>
      <c r="AR28" s="14">
        <f t="shared" si="14"/>
        <v>-3185.1230769230751</v>
      </c>
      <c r="AS28" s="14">
        <f t="shared" si="14"/>
        <v>-3454.5230769230766</v>
      </c>
      <c r="AT28" s="14">
        <f t="shared" si="14"/>
        <v>-2970.5230769230766</v>
      </c>
      <c r="AU28" s="14">
        <f t="shared" si="14"/>
        <v>-1939.1230769230751</v>
      </c>
      <c r="AV28" s="14">
        <f t="shared" si="14"/>
        <v>-1455.1230769230751</v>
      </c>
      <c r="AW28" s="14">
        <f t="shared" si="14"/>
        <v>-1254.7230769230737</v>
      </c>
      <c r="AX28" s="14">
        <f t="shared" si="14"/>
        <v>-770.72307692308095</v>
      </c>
      <c r="AY28" s="14">
        <f t="shared" si="14"/>
        <v>30.476923076923413</v>
      </c>
      <c r="AZ28" s="14">
        <f t="shared" si="14"/>
        <v>514.47692307692341</v>
      </c>
      <c r="BA28" s="14">
        <f t="shared" si="14"/>
        <v>-437.52307692307659</v>
      </c>
      <c r="BB28" s="14">
        <f t="shared" si="14"/>
        <v>46.476923076923413</v>
      </c>
      <c r="BC28" s="14">
        <f t="shared" si="14"/>
        <v>383.27692307691905</v>
      </c>
      <c r="BD28" s="14">
        <f t="shared" si="14"/>
        <v>867.27692307691905</v>
      </c>
      <c r="BE28" s="14">
        <f t="shared" si="14"/>
        <v>-1218.5230769230766</v>
      </c>
      <c r="BF28" s="14">
        <f t="shared" si="14"/>
        <v>-3185.1230769230751</v>
      </c>
    </row>
    <row r="29" spans="2:58">
      <c r="B29" s="59" t="s">
        <v>375</v>
      </c>
      <c r="C29" s="129" t="s">
        <v>450</v>
      </c>
      <c r="D29" s="73">
        <f>D27/D16</f>
        <v>45.353138051843558</v>
      </c>
      <c r="E29" s="73">
        <f t="shared" ref="E29:T30" si="15">E27/E16</f>
        <v>44.871508379888262</v>
      </c>
      <c r="F29" s="73">
        <f t="shared" si="15"/>
        <v>11.811764705882357</v>
      </c>
      <c r="G29" s="73">
        <f t="shared" si="15"/>
        <v>45.335755612960888</v>
      </c>
      <c r="H29" s="73">
        <f t="shared" si="15"/>
        <v>11.933970962823533</v>
      </c>
      <c r="I29" s="73">
        <f t="shared" si="15"/>
        <v>39.986119675977683</v>
      </c>
      <c r="J29" s="73">
        <f t="shared" si="15"/>
        <v>10.525757973529425</v>
      </c>
      <c r="K29" s="73">
        <f t="shared" si="15"/>
        <v>32.793296089385478</v>
      </c>
      <c r="L29" s="73">
        <f t="shared" si="15"/>
        <v>8.6323529411764746</v>
      </c>
      <c r="M29" s="73">
        <f t="shared" si="15"/>
        <v>27.083798882681563</v>
      </c>
      <c r="N29" s="73">
        <f t="shared" si="15"/>
        <v>7.1294117647058846</v>
      </c>
      <c r="O29" s="73">
        <f t="shared" si="15"/>
        <v>21.106145251396647</v>
      </c>
      <c r="P29" s="73">
        <f t="shared" si="15"/>
        <v>5.5558823529411789</v>
      </c>
      <c r="Q29" s="73">
        <f t="shared" si="15"/>
        <v>16.279329608938546</v>
      </c>
      <c r="R29" s="73">
        <f t="shared" si="15"/>
        <v>4.2852941176470605</v>
      </c>
      <c r="S29" s="73">
        <f t="shared" si="15"/>
        <v>11.840333454000024</v>
      </c>
      <c r="T29" s="73">
        <f t="shared" si="15"/>
        <v>11.936088291176491</v>
      </c>
      <c r="U29" s="50"/>
      <c r="V29" s="138"/>
      <c r="W29" s="50"/>
      <c r="X29" s="50"/>
      <c r="AO29" t="s">
        <v>705</v>
      </c>
      <c r="AP29" s="14">
        <f>AP27-$BE$27</f>
        <v>1218.5230769230766</v>
      </c>
      <c r="AQ29" s="14">
        <f t="shared" ref="AQ29:BF29" si="16">AQ27-$BE$27</f>
        <v>-2450.5999999999985</v>
      </c>
      <c r="AR29" s="14">
        <f t="shared" si="16"/>
        <v>-1966.5999999999985</v>
      </c>
      <c r="AS29" s="14">
        <f t="shared" si="16"/>
        <v>-2236</v>
      </c>
      <c r="AT29" s="14">
        <f t="shared" si="16"/>
        <v>-1752</v>
      </c>
      <c r="AU29" s="14">
        <f t="shared" si="16"/>
        <v>-720.59999999999854</v>
      </c>
      <c r="AV29" s="14">
        <f t="shared" si="16"/>
        <v>-236.59999999999854</v>
      </c>
      <c r="AW29" s="14">
        <f t="shared" si="16"/>
        <v>-36.19999999999709</v>
      </c>
      <c r="AX29" s="14">
        <f t="shared" si="16"/>
        <v>447.79999999999563</v>
      </c>
      <c r="AY29" s="14">
        <f t="shared" si="16"/>
        <v>1249</v>
      </c>
      <c r="AZ29" s="14">
        <f t="shared" si="16"/>
        <v>1733</v>
      </c>
      <c r="BA29" s="14">
        <f t="shared" si="16"/>
        <v>781</v>
      </c>
      <c r="BB29" s="14">
        <f t="shared" si="16"/>
        <v>1265</v>
      </c>
      <c r="BC29" s="14">
        <f t="shared" si="16"/>
        <v>1601.7999999999956</v>
      </c>
      <c r="BD29" s="14">
        <f t="shared" si="16"/>
        <v>2085.7999999999956</v>
      </c>
      <c r="BE29" s="14">
        <f t="shared" si="16"/>
        <v>0</v>
      </c>
      <c r="BF29" s="14">
        <f t="shared" si="16"/>
        <v>-1966.5999999999985</v>
      </c>
    </row>
    <row r="30" spans="2:58">
      <c r="B30" s="59" t="s">
        <v>376</v>
      </c>
      <c r="C30" s="129" t="s">
        <v>450</v>
      </c>
      <c r="D30" s="73">
        <f>D28/D17</f>
        <v>21.790283342326536</v>
      </c>
      <c r="E30" s="73">
        <f t="shared" si="15"/>
        <v>27.150837988826815</v>
      </c>
      <c r="F30" s="73">
        <f t="shared" si="15"/>
        <v>10.534782608695654</v>
      </c>
      <c r="G30" s="73">
        <f t="shared" si="15"/>
        <v>27.150837988826815</v>
      </c>
      <c r="H30" s="73">
        <f t="shared" si="15"/>
        <v>10.565217391304349</v>
      </c>
      <c r="I30" s="73">
        <f t="shared" si="15"/>
        <v>27.150837988826815</v>
      </c>
      <c r="J30" s="73">
        <f t="shared" si="15"/>
        <v>10.565217391304349</v>
      </c>
      <c r="K30" s="73">
        <f t="shared" si="15"/>
        <v>27.072625698324021</v>
      </c>
      <c r="L30" s="73">
        <f t="shared" si="15"/>
        <v>10.534782608695654</v>
      </c>
      <c r="M30" s="73">
        <f t="shared" si="15"/>
        <v>27.072625698324021</v>
      </c>
      <c r="N30" s="73">
        <f t="shared" si="15"/>
        <v>10.534782608695654</v>
      </c>
      <c r="O30" s="73">
        <f t="shared" si="15"/>
        <v>27.072625698324021</v>
      </c>
      <c r="P30" s="73">
        <f t="shared" si="15"/>
        <v>10.534782608695654</v>
      </c>
      <c r="Q30" s="73">
        <f t="shared" si="15"/>
        <v>27.072625698324021</v>
      </c>
      <c r="R30" s="73">
        <f t="shared" si="15"/>
        <v>10.534782608695654</v>
      </c>
      <c r="S30" s="73">
        <f t="shared" si="15"/>
        <v>10.534782608695654</v>
      </c>
      <c r="T30" s="73">
        <f t="shared" si="15"/>
        <v>10.534782608695654</v>
      </c>
      <c r="U30" s="50"/>
      <c r="V30" s="138"/>
      <c r="W30" s="50"/>
      <c r="X30" s="50"/>
    </row>
    <row r="31" spans="2:58">
      <c r="B31" s="59" t="s">
        <v>377</v>
      </c>
      <c r="C31" s="129" t="s">
        <v>450</v>
      </c>
      <c r="D31" s="73">
        <f>(IF(D5="Natural Ventilation",SAP!$C$24+(SAP!$C$30*'C&amp;B'!$D$19),SAP!$C$24+SAP!$C$31*'C&amp;B'!$D$19))/'C&amp;B'!$C$13</f>
        <v>4.6108556789069173</v>
      </c>
      <c r="E31" s="73">
        <f>(IF(E5="Natural Ventilation",SAP!$C$24+(SAP!$C$30*'C&amp;B'!$D$19),SAP!$C$24+SAP!$C$31*'C&amp;B'!$D$19))/'C&amp;B'!$C$13</f>
        <v>4.6108556789069173</v>
      </c>
      <c r="F31" s="73">
        <f>(IF(F5="Natural Ventilation",SAP!$C$24+(SAP!$C$30*'C&amp;B'!$D$19),SAP!$C$24+SAP!$C$31*'C&amp;B'!$D$19))/'C&amp;B'!$C$13</f>
        <v>4.6108556789069173</v>
      </c>
      <c r="G31" s="73">
        <f>(IF(G5="Natural Ventilation",SAP!$C$24+(SAP!$C$30*'C&amp;B'!$D$19),SAP!$C$24+SAP!$C$31*'C&amp;B'!$D$19))/'C&amp;B'!$C$13</f>
        <v>4.6108556789069173</v>
      </c>
      <c r="H31" s="73">
        <f>(IF(H5="Natural Ventilation",SAP!$C$24+(SAP!$C$30*'C&amp;B'!$D$19),SAP!$C$24+SAP!$C$31*'C&amp;B'!$D$19))/'C&amp;B'!$C$13</f>
        <v>4.6108556789069173</v>
      </c>
      <c r="I31" s="73">
        <f>(IF(I5="Natural Ventilation",SAP!$C$24+(SAP!$C$30*'C&amp;B'!$D$19),SAP!$C$24+SAP!$C$31*'C&amp;B'!$D$19))/'C&amp;B'!$C$13</f>
        <v>11.001947053800171</v>
      </c>
      <c r="J31" s="73">
        <f>(IF(J5="Natural Ventilation",SAP!$C$24+(SAP!$C$30*'C&amp;B'!$D$19),SAP!$C$24+SAP!$C$31*'C&amp;B'!$D$19))/'C&amp;B'!$C$13</f>
        <v>11.001947053800171</v>
      </c>
      <c r="K31" s="73">
        <f>(IF(K5="Natural Ventilation",SAP!$C$24+(SAP!$C$30*'C&amp;B'!$D$19),SAP!$C$24+SAP!$C$31*'C&amp;B'!$D$19))/'C&amp;B'!$C$13</f>
        <v>11.001947053800171</v>
      </c>
      <c r="L31" s="73">
        <f>(IF(L5="Natural Ventilation",SAP!$C$24+(SAP!$C$30*'C&amp;B'!$D$19),SAP!$C$24+SAP!$C$31*'C&amp;B'!$D$19))/'C&amp;B'!$C$13</f>
        <v>11.001947053800171</v>
      </c>
      <c r="M31" s="73">
        <f>(IF(M5="Natural Ventilation",SAP!$C$24+(SAP!$C$30*'C&amp;B'!$D$19),SAP!$C$24+SAP!$C$31*'C&amp;B'!$D$19))/'C&amp;B'!$C$13</f>
        <v>11.001947053800171</v>
      </c>
      <c r="N31" s="73">
        <f>(IF(N5="Natural Ventilation",SAP!$C$24+(SAP!$C$30*'C&amp;B'!$D$19),SAP!$C$24+SAP!$C$31*'C&amp;B'!$D$19))/'C&amp;B'!$C$13</f>
        <v>11.001947053800171</v>
      </c>
      <c r="O31" s="73">
        <f>(IF(O5="Natural Ventilation",SAP!$C$24+(SAP!$C$30*'C&amp;B'!$D$19),SAP!$C$24+SAP!$C$31*'C&amp;B'!$D$19))/'C&amp;B'!$C$13</f>
        <v>11.001947053800171</v>
      </c>
      <c r="P31" s="73">
        <f>(IF(P5="Natural Ventilation",SAP!$C$24+(SAP!$C$30*'C&amp;B'!$D$19),SAP!$C$24+SAP!$C$31*'C&amp;B'!$D$19))/'C&amp;B'!$C$13</f>
        <v>11.001947053800171</v>
      </c>
      <c r="Q31" s="73">
        <f>(IF(Q5="Natural Ventilation",SAP!$C$24+(SAP!$C$30*'C&amp;B'!$D$19),SAP!$C$24+SAP!$C$31*'C&amp;B'!$D$19))/'C&amp;B'!$C$13</f>
        <v>11.001947053800171</v>
      </c>
      <c r="R31" s="73">
        <f>(IF(R5="Natural Ventilation",SAP!$C$24+(SAP!$C$30*'C&amp;B'!$D$19),SAP!$C$24+SAP!$C$31*'C&amp;B'!$D$19))/'C&amp;B'!$C$13</f>
        <v>11.001947053800171</v>
      </c>
      <c r="S31" s="73">
        <f>(IF(S5="Natural Ventilation",SAP!$C$24+(SAP!$C$30*'C&amp;B'!$D$19),SAP!$C$24+SAP!$C$31*'C&amp;B'!$D$19))/'C&amp;B'!$C$13</f>
        <v>4.6108556789069173</v>
      </c>
      <c r="T31" s="73">
        <f>(IF(T5="Natural Ventilation",SAP!$C$24+(SAP!$C$30*'C&amp;B'!$D$19),SAP!$C$24+SAP!$C$31*'C&amp;B'!$D$19))/'C&amp;B'!$C$13</f>
        <v>4.6108556789069173</v>
      </c>
      <c r="U31" s="50"/>
      <c r="V31" s="138"/>
      <c r="W31" s="50"/>
      <c r="X31" s="50"/>
    </row>
    <row r="32" spans="2:58">
      <c r="B32" s="59" t="s">
        <v>378</v>
      </c>
      <c r="C32" s="129" t="s">
        <v>450</v>
      </c>
      <c r="D32" s="62">
        <f>SAP!D55</f>
        <v>2.3081998209741026</v>
      </c>
      <c r="E32" s="74">
        <f>D32</f>
        <v>2.3081998209741026</v>
      </c>
      <c r="F32" s="74">
        <f t="shared" ref="F32:T32" si="17">E32</f>
        <v>2.3081998209741026</v>
      </c>
      <c r="G32" s="74">
        <f t="shared" si="17"/>
        <v>2.3081998209741026</v>
      </c>
      <c r="H32" s="74">
        <f t="shared" si="17"/>
        <v>2.3081998209741026</v>
      </c>
      <c r="I32" s="74">
        <f t="shared" si="17"/>
        <v>2.3081998209741026</v>
      </c>
      <c r="J32" s="74">
        <f t="shared" si="17"/>
        <v>2.3081998209741026</v>
      </c>
      <c r="K32" s="74">
        <f t="shared" si="17"/>
        <v>2.3081998209741026</v>
      </c>
      <c r="L32" s="74">
        <f t="shared" si="17"/>
        <v>2.3081998209741026</v>
      </c>
      <c r="M32" s="74">
        <f t="shared" si="17"/>
        <v>2.3081998209741026</v>
      </c>
      <c r="N32" s="74">
        <f t="shared" si="17"/>
        <v>2.3081998209741026</v>
      </c>
      <c r="O32" s="74">
        <f t="shared" si="17"/>
        <v>2.3081998209741026</v>
      </c>
      <c r="P32" s="74">
        <f t="shared" si="17"/>
        <v>2.3081998209741026</v>
      </c>
      <c r="Q32" s="74">
        <f t="shared" si="17"/>
        <v>2.3081998209741026</v>
      </c>
      <c r="R32" s="74">
        <f t="shared" si="17"/>
        <v>2.3081998209741026</v>
      </c>
      <c r="S32" s="74">
        <f t="shared" si="17"/>
        <v>2.3081998209741026</v>
      </c>
      <c r="T32" s="74">
        <f t="shared" si="17"/>
        <v>2.3081998209741026</v>
      </c>
      <c r="U32" s="50"/>
      <c r="V32" s="138"/>
      <c r="W32" s="50"/>
      <c r="X32" s="50"/>
    </row>
    <row r="33" spans="2:24">
      <c r="B33" s="59" t="s">
        <v>379</v>
      </c>
      <c r="C33" s="129" t="s">
        <v>450</v>
      </c>
      <c r="D33" s="73">
        <f t="shared" ref="D33:T33" si="18">IF(D4="Gas",SUM(D29:D30),0)</f>
        <v>67.14342139417009</v>
      </c>
      <c r="E33" s="73">
        <f t="shared" si="18"/>
        <v>72.022346368715077</v>
      </c>
      <c r="F33" s="73">
        <f t="shared" si="18"/>
        <v>0</v>
      </c>
      <c r="G33" s="73">
        <f t="shared" si="18"/>
        <v>72.486593601787703</v>
      </c>
      <c r="H33" s="73">
        <f t="shared" si="18"/>
        <v>0</v>
      </c>
      <c r="I33" s="73">
        <f t="shared" si="18"/>
        <v>67.136957664804498</v>
      </c>
      <c r="J33" s="73">
        <f t="shared" si="18"/>
        <v>0</v>
      </c>
      <c r="K33" s="73">
        <f t="shared" si="18"/>
        <v>59.865921787709496</v>
      </c>
      <c r="L33" s="73">
        <f t="shared" si="18"/>
        <v>0</v>
      </c>
      <c r="M33" s="73">
        <f t="shared" si="18"/>
        <v>54.156424581005581</v>
      </c>
      <c r="N33" s="73">
        <f t="shared" si="18"/>
        <v>0</v>
      </c>
      <c r="O33" s="73">
        <f t="shared" si="18"/>
        <v>48.178770949720672</v>
      </c>
      <c r="P33" s="73">
        <f t="shared" si="18"/>
        <v>0</v>
      </c>
      <c r="Q33" s="73">
        <f t="shared" si="18"/>
        <v>43.351955307262571</v>
      </c>
      <c r="R33" s="73">
        <f t="shared" si="18"/>
        <v>0</v>
      </c>
      <c r="S33" s="73">
        <f t="shared" si="18"/>
        <v>0</v>
      </c>
      <c r="T33" s="73">
        <f t="shared" si="18"/>
        <v>0</v>
      </c>
      <c r="U33" s="50"/>
      <c r="V33" s="138"/>
      <c r="W33" s="50"/>
      <c r="X33" s="50"/>
    </row>
    <row r="34" spans="2:24">
      <c r="B34" s="59" t="s">
        <v>380</v>
      </c>
      <c r="C34" s="129" t="s">
        <v>450</v>
      </c>
      <c r="D34" s="73">
        <f t="shared" ref="D34:T34" si="19">IF(D4="Gas", SUM(D31:D32),SUM(D29:D32))</f>
        <v>6.9190554998810203</v>
      </c>
      <c r="E34" s="73">
        <f t="shared" si="19"/>
        <v>6.9190554998810203</v>
      </c>
      <c r="F34" s="73">
        <f t="shared" si="19"/>
        <v>29.265602814459029</v>
      </c>
      <c r="G34" s="73">
        <f t="shared" si="19"/>
        <v>6.9190554998810203</v>
      </c>
      <c r="H34" s="73">
        <f t="shared" si="19"/>
        <v>29.4182438540089</v>
      </c>
      <c r="I34" s="73">
        <f t="shared" si="19"/>
        <v>13.310146874774274</v>
      </c>
      <c r="J34" s="73">
        <f t="shared" si="19"/>
        <v>34.40112223960805</v>
      </c>
      <c r="K34" s="73">
        <f t="shared" si="19"/>
        <v>13.310146874774274</v>
      </c>
      <c r="L34" s="73">
        <f t="shared" si="19"/>
        <v>32.477282424646404</v>
      </c>
      <c r="M34" s="73">
        <f t="shared" si="19"/>
        <v>13.310146874774274</v>
      </c>
      <c r="N34" s="73">
        <f t="shared" si="19"/>
        <v>30.974341248175811</v>
      </c>
      <c r="O34" s="73">
        <f t="shared" si="19"/>
        <v>13.310146874774274</v>
      </c>
      <c r="P34" s="73">
        <f t="shared" si="19"/>
        <v>29.400811836411108</v>
      </c>
      <c r="Q34" s="73">
        <f t="shared" si="19"/>
        <v>13.310146874774274</v>
      </c>
      <c r="R34" s="73">
        <f t="shared" si="19"/>
        <v>28.130223601116988</v>
      </c>
      <c r="S34" s="73">
        <f t="shared" si="19"/>
        <v>29.2941715625767</v>
      </c>
      <c r="T34" s="73">
        <f t="shared" si="19"/>
        <v>29.389926399753165</v>
      </c>
      <c r="U34" s="50"/>
      <c r="V34" s="138"/>
      <c r="W34" s="50"/>
      <c r="X34" s="50"/>
    </row>
    <row r="35" spans="2:24">
      <c r="B35" s="59" t="s">
        <v>452</v>
      </c>
      <c r="C35" s="129" t="s">
        <v>450</v>
      </c>
      <c r="D35" s="73">
        <f>D26*SAP!$C$143/'C&amp;B'!$D$13</f>
        <v>28.159324482036258</v>
      </c>
      <c r="E35" s="73">
        <f>E26*SAP!$C$143/'C&amp;B'!$D$13</f>
        <v>0</v>
      </c>
      <c r="F35" s="73">
        <f>F26*SAP!$C$143/'C&amp;B'!$D$13</f>
        <v>0</v>
      </c>
      <c r="G35" s="73">
        <f>G26*SAP!$C$143/'C&amp;B'!$D$13</f>
        <v>0</v>
      </c>
      <c r="H35" s="73">
        <f>H26*SAP!$C$143/'C&amp;B'!$D$13</f>
        <v>0</v>
      </c>
      <c r="I35" s="73">
        <f>I26*SAP!$C$143/'C&amp;B'!$D$13</f>
        <v>0</v>
      </c>
      <c r="J35" s="73">
        <f>J26*SAP!$C$143/'C&amp;B'!$D$13</f>
        <v>0</v>
      </c>
      <c r="K35" s="73">
        <f>K26*SAP!$C$143/'C&amp;B'!$D$13</f>
        <v>0</v>
      </c>
      <c r="L35" s="73">
        <f>L26*SAP!$C$143/'C&amp;B'!$D$13</f>
        <v>0</v>
      </c>
      <c r="M35" s="73">
        <f>M26*SAP!$C$143/'C&amp;B'!$D$13</f>
        <v>0</v>
      </c>
      <c r="N35" s="73">
        <f>N26*SAP!$C$143/'C&amp;B'!$D$13</f>
        <v>0</v>
      </c>
      <c r="O35" s="73">
        <f>O26*SAP!$C$143/'C&amp;B'!$D$13</f>
        <v>0</v>
      </c>
      <c r="P35" s="73">
        <f>P26*SAP!$C$143/'C&amp;B'!$D$13</f>
        <v>0</v>
      </c>
      <c r="Q35" s="73">
        <f>Q26*SAP!$C$143/'C&amp;B'!$D$13</f>
        <v>0</v>
      </c>
      <c r="R35" s="73">
        <f>R26*SAP!$C$143/'C&amp;B'!$D$13</f>
        <v>0</v>
      </c>
      <c r="S35" s="73">
        <f>S26*SAP!$C$143/'C&amp;B'!$D$13</f>
        <v>0</v>
      </c>
      <c r="T35" s="73">
        <f>T26*SAP!$C$143/'C&amp;B'!$D$13</f>
        <v>0</v>
      </c>
      <c r="U35" s="50"/>
      <c r="V35" s="138"/>
      <c r="W35" s="50"/>
      <c r="X35" s="50"/>
    </row>
    <row r="36" spans="2:24">
      <c r="B36" s="59" t="s">
        <v>448</v>
      </c>
      <c r="C36" s="129" t="s">
        <v>451</v>
      </c>
      <c r="D36" s="73">
        <f>D33*SAP!$C$6</f>
        <v>14.100118492775719</v>
      </c>
      <c r="E36" s="73">
        <f>E33*SAP!$C$6</f>
        <v>15.124692737430166</v>
      </c>
      <c r="F36" s="73">
        <f>F33*SAP!$C$6</f>
        <v>0</v>
      </c>
      <c r="G36" s="73">
        <f>G33*SAP!$C$6</f>
        <v>15.222184656375417</v>
      </c>
      <c r="H36" s="73">
        <f>H33*SAP!$C$6</f>
        <v>0</v>
      </c>
      <c r="I36" s="73">
        <f>I33*SAP!$C$6</f>
        <v>14.098761109608944</v>
      </c>
      <c r="J36" s="73">
        <f>J33*SAP!$C$6</f>
        <v>0</v>
      </c>
      <c r="K36" s="73">
        <f>K33*SAP!$C$6</f>
        <v>12.571843575418994</v>
      </c>
      <c r="L36" s="73">
        <f>L33*SAP!$C$6</f>
        <v>0</v>
      </c>
      <c r="M36" s="73">
        <f>M33*SAP!$C$6</f>
        <v>11.372849162011171</v>
      </c>
      <c r="N36" s="73">
        <f>N33*SAP!$C$6</f>
        <v>0</v>
      </c>
      <c r="O36" s="73">
        <f>O33*SAP!$C$6</f>
        <v>10.11754189944134</v>
      </c>
      <c r="P36" s="73">
        <f>P33*SAP!$C$6</f>
        <v>0</v>
      </c>
      <c r="Q36" s="73">
        <f>Q33*SAP!$C$6</f>
        <v>9.1039106145251392</v>
      </c>
      <c r="R36" s="73">
        <f>R33*SAP!$C$6</f>
        <v>0</v>
      </c>
      <c r="S36" s="73">
        <f>S33*SAP!$C$6</f>
        <v>0</v>
      </c>
      <c r="T36" s="73">
        <f>T33*SAP!$C$6</f>
        <v>0</v>
      </c>
    </row>
    <row r="37" spans="2:24">
      <c r="B37" s="59" t="s">
        <v>453</v>
      </c>
      <c r="C37" s="129" t="s">
        <v>451</v>
      </c>
      <c r="D37" s="73">
        <f>D34*SAP!$C$9</f>
        <v>0.94099154798381879</v>
      </c>
      <c r="E37" s="73">
        <f>E34*SAP!$C$9</f>
        <v>0.94099154798381879</v>
      </c>
      <c r="F37" s="73">
        <f>F34*SAP!$C$9</f>
        <v>3.9801219827664283</v>
      </c>
      <c r="G37" s="73">
        <f>G34*SAP!$C$9</f>
        <v>0.94099154798381879</v>
      </c>
      <c r="H37" s="73">
        <f>H34*SAP!$C$9</f>
        <v>4.0008811641452109</v>
      </c>
      <c r="I37" s="73">
        <f>I34*SAP!$C$9</f>
        <v>1.8101799749693013</v>
      </c>
      <c r="J37" s="73">
        <f>J34*SAP!$C$9</f>
        <v>4.6785526245866951</v>
      </c>
      <c r="K37" s="73">
        <f>K34*SAP!$C$9</f>
        <v>1.8101799749693013</v>
      </c>
      <c r="L37" s="73">
        <f>L34*SAP!$C$9</f>
        <v>4.4169104097519112</v>
      </c>
      <c r="M37" s="73">
        <f>M34*SAP!$C$9</f>
        <v>1.8101799749693013</v>
      </c>
      <c r="N37" s="73">
        <f>N34*SAP!$C$9</f>
        <v>4.2125104097519106</v>
      </c>
      <c r="O37" s="73">
        <f>O34*SAP!$C$9</f>
        <v>1.8101799749693013</v>
      </c>
      <c r="P37" s="73">
        <f>P34*SAP!$C$9</f>
        <v>3.9985104097519111</v>
      </c>
      <c r="Q37" s="73">
        <f>Q34*SAP!$C$9</f>
        <v>1.8101799749693013</v>
      </c>
      <c r="R37" s="73">
        <f>R34*SAP!$C$9</f>
        <v>3.8257104097519106</v>
      </c>
      <c r="S37" s="73">
        <f>S34*SAP!$C$9</f>
        <v>3.9840073325104317</v>
      </c>
      <c r="T37" s="73">
        <f>T34*SAP!$C$9</f>
        <v>3.9970299903664306</v>
      </c>
    </row>
    <row r="38" spans="2:24">
      <c r="B38" s="59" t="s">
        <v>454</v>
      </c>
      <c r="C38" s="129" t="s">
        <v>451</v>
      </c>
      <c r="D38" s="73">
        <f>-D35*SAP!$C$10</f>
        <v>-3.8296681295569313</v>
      </c>
      <c r="E38" s="73">
        <f>-E35*SAP!$C$10</f>
        <v>0</v>
      </c>
      <c r="F38" s="73">
        <f>-F35*SAP!$C$10</f>
        <v>0</v>
      </c>
      <c r="G38" s="73">
        <f>-G35*SAP!$C$10</f>
        <v>0</v>
      </c>
      <c r="H38" s="73">
        <f>-H35*SAP!$C$10</f>
        <v>0</v>
      </c>
      <c r="I38" s="73">
        <f>-I35*SAP!$C$10</f>
        <v>0</v>
      </c>
      <c r="J38" s="73">
        <f>-J35*SAP!$C$10</f>
        <v>0</v>
      </c>
      <c r="K38" s="73">
        <f>-K35*SAP!$C$10</f>
        <v>0</v>
      </c>
      <c r="L38" s="73">
        <f>-L35*SAP!$C$10</f>
        <v>0</v>
      </c>
      <c r="M38" s="73">
        <f>-M35*SAP!$C$10</f>
        <v>0</v>
      </c>
      <c r="N38" s="73">
        <f>-N35*SAP!$C$10</f>
        <v>0</v>
      </c>
      <c r="O38" s="73">
        <f>-O35*SAP!$C$10</f>
        <v>0</v>
      </c>
      <c r="P38" s="73">
        <f>-P35*SAP!$C$10</f>
        <v>0</v>
      </c>
      <c r="Q38" s="73">
        <f>-Q35*SAP!$C$10</f>
        <v>0</v>
      </c>
      <c r="R38" s="73">
        <f>-R35*SAP!$C$10</f>
        <v>0</v>
      </c>
      <c r="S38" s="73">
        <f>-S35*SAP!$C$10</f>
        <v>0</v>
      </c>
      <c r="T38" s="73">
        <f>-T35*SAP!$C$10</f>
        <v>0</v>
      </c>
    </row>
    <row r="39" spans="2:24">
      <c r="B39" s="59" t="s">
        <v>449</v>
      </c>
      <c r="C39" s="129" t="s">
        <v>451</v>
      </c>
      <c r="D39" s="73">
        <f>D36+D37+D38</f>
        <v>11.211441911202606</v>
      </c>
      <c r="E39" s="73">
        <f t="shared" ref="E39:T39" si="20">E36+E37+E38</f>
        <v>16.065684285413987</v>
      </c>
      <c r="F39" s="73">
        <f t="shared" si="20"/>
        <v>3.9801219827664283</v>
      </c>
      <c r="G39" s="73">
        <f t="shared" si="20"/>
        <v>16.163176204359235</v>
      </c>
      <c r="H39" s="73">
        <f t="shared" si="20"/>
        <v>4.0008811641452109</v>
      </c>
      <c r="I39" s="73">
        <f t="shared" si="20"/>
        <v>15.908941084578245</v>
      </c>
      <c r="J39" s="73">
        <f t="shared" si="20"/>
        <v>4.6785526245866951</v>
      </c>
      <c r="K39" s="73">
        <f t="shared" si="20"/>
        <v>14.382023550388295</v>
      </c>
      <c r="L39" s="73">
        <f t="shared" si="20"/>
        <v>4.4169104097519112</v>
      </c>
      <c r="M39" s="73">
        <f t="shared" si="20"/>
        <v>13.183029136980473</v>
      </c>
      <c r="N39" s="73">
        <f t="shared" si="20"/>
        <v>4.2125104097519106</v>
      </c>
      <c r="O39" s="73">
        <f t="shared" si="20"/>
        <v>11.927721874410642</v>
      </c>
      <c r="P39" s="73">
        <f t="shared" si="20"/>
        <v>3.9985104097519111</v>
      </c>
      <c r="Q39" s="73">
        <f t="shared" si="20"/>
        <v>10.914090589494441</v>
      </c>
      <c r="R39" s="73">
        <f t="shared" si="20"/>
        <v>3.8257104097519106</v>
      </c>
      <c r="S39" s="73">
        <f t="shared" si="20"/>
        <v>3.9840073325104317</v>
      </c>
      <c r="T39" s="73">
        <f t="shared" si="20"/>
        <v>3.9970299903664306</v>
      </c>
    </row>
    <row r="40" spans="2:24">
      <c r="B40" s="59" t="s">
        <v>731</v>
      </c>
      <c r="C40" s="71" t="s">
        <v>609</v>
      </c>
      <c r="D40" s="148">
        <f>IF(ISNUMBER(AP97),AP97,"Not Possible")</f>
        <v>3350.8129057918268</v>
      </c>
      <c r="E40" s="148">
        <f t="shared" ref="E40:T46" si="21">IF(ISNUMBER(AQ97),AQ97,"Not Possible")</f>
        <v>2775.4265165065663</v>
      </c>
      <c r="F40" s="148">
        <f t="shared" si="21"/>
        <v>0</v>
      </c>
      <c r="G40" s="148">
        <f t="shared" si="21"/>
        <v>3030.0684428392851</v>
      </c>
      <c r="H40" s="148">
        <f t="shared" si="21"/>
        <v>214.59999999999854</v>
      </c>
      <c r="I40" s="148">
        <f t="shared" si="21"/>
        <v>4441.0488760936714</v>
      </c>
      <c r="J40" s="148">
        <f t="shared" si="21"/>
        <v>1730</v>
      </c>
      <c r="K40" s="148">
        <f t="shared" si="21"/>
        <v>4498.3125956547447</v>
      </c>
      <c r="L40" s="148">
        <f t="shared" si="21"/>
        <v>2414.3999999999942</v>
      </c>
      <c r="M40" s="148">
        <f t="shared" si="21"/>
        <v>5291.061052035162</v>
      </c>
      <c r="N40" s="148">
        <f t="shared" si="21"/>
        <v>3699.5999999999985</v>
      </c>
      <c r="O40" s="148">
        <f t="shared" si="21"/>
        <v>4307.4806687935343</v>
      </c>
      <c r="P40" s="148">
        <f t="shared" si="21"/>
        <v>3231.5999999999985</v>
      </c>
      <c r="Q40" s="148">
        <f t="shared" si="21"/>
        <v>4711.9615555965429</v>
      </c>
      <c r="R40" s="148">
        <f t="shared" si="21"/>
        <v>4052.3999999999942</v>
      </c>
      <c r="S40" s="148">
        <f t="shared" si="21"/>
        <v>1966.5999999999985</v>
      </c>
      <c r="T40" s="148">
        <f t="shared" si="21"/>
        <v>0</v>
      </c>
    </row>
    <row r="41" spans="2:24">
      <c r="B41" s="59" t="s">
        <v>731</v>
      </c>
      <c r="C41" s="71" t="s">
        <v>610</v>
      </c>
      <c r="D41" s="148">
        <f t="shared" ref="D41:M46" si="22">IF(ISNUMBER(AP98),AP98,"Not Possible")</f>
        <v>3794.7207869864651</v>
      </c>
      <c r="E41" s="148">
        <f t="shared" si="21"/>
        <v>4288.7797291188836</v>
      </c>
      <c r="F41" s="148">
        <f t="shared" si="21"/>
        <v>0</v>
      </c>
      <c r="G41" s="148">
        <f t="shared" si="21"/>
        <v>4576.7899273955409</v>
      </c>
      <c r="H41" s="148">
        <f t="shared" si="21"/>
        <v>214.59999999999854</v>
      </c>
      <c r="I41" s="148">
        <f t="shared" si="21"/>
        <v>5900.7540550285848</v>
      </c>
      <c r="J41" s="148">
        <f t="shared" si="21"/>
        <v>1730</v>
      </c>
      <c r="K41" s="148">
        <f t="shared" si="21"/>
        <v>4942.2204768493903</v>
      </c>
      <c r="L41" s="148">
        <f t="shared" si="21"/>
        <v>2414.3999999999942</v>
      </c>
      <c r="M41" s="148">
        <f t="shared" si="21"/>
        <v>5734.9689332298076</v>
      </c>
      <c r="N41" s="148">
        <f t="shared" si="21"/>
        <v>3699.5999999999985</v>
      </c>
      <c r="O41" s="148">
        <f t="shared" si="21"/>
        <v>4751.3885499881726</v>
      </c>
      <c r="P41" s="148">
        <f t="shared" si="21"/>
        <v>3231.5999999999985</v>
      </c>
      <c r="Q41" s="148">
        <f t="shared" si="21"/>
        <v>5155.8694367911885</v>
      </c>
      <c r="R41" s="148">
        <f t="shared" si="21"/>
        <v>4052.3999999999942</v>
      </c>
      <c r="S41" s="148">
        <f t="shared" si="21"/>
        <v>1966.5999999999985</v>
      </c>
      <c r="T41" s="148">
        <f t="shared" si="21"/>
        <v>0</v>
      </c>
    </row>
    <row r="42" spans="2:24">
      <c r="B42" s="59" t="s">
        <v>731</v>
      </c>
      <c r="C42" s="71" t="s">
        <v>611</v>
      </c>
      <c r="D42" s="148">
        <f t="shared" si="22"/>
        <v>5327.3192249987042</v>
      </c>
      <c r="E42" s="148">
        <f t="shared" si="21"/>
        <v>5102.6108446424041</v>
      </c>
      <c r="F42" s="148">
        <f t="shared" si="21"/>
        <v>0</v>
      </c>
      <c r="G42" s="148">
        <f t="shared" si="21"/>
        <v>5390.6210429190542</v>
      </c>
      <c r="H42" s="148">
        <f t="shared" si="21"/>
        <v>214.59999999999854</v>
      </c>
      <c r="I42" s="148">
        <f t="shared" si="21"/>
        <v>6714.5851705520981</v>
      </c>
      <c r="J42" s="148">
        <f t="shared" si="21"/>
        <v>1730</v>
      </c>
      <c r="K42" s="148">
        <f t="shared" si="21"/>
        <v>5386.1283580440358</v>
      </c>
      <c r="L42" s="148">
        <f t="shared" si="21"/>
        <v>2414.3999999999942</v>
      </c>
      <c r="M42" s="148">
        <f t="shared" si="21"/>
        <v>6178.8768144244532</v>
      </c>
      <c r="N42" s="148">
        <f t="shared" si="21"/>
        <v>3699.5999999999985</v>
      </c>
      <c r="O42" s="148">
        <f t="shared" si="21"/>
        <v>5195.2964311828182</v>
      </c>
      <c r="P42" s="148">
        <f t="shared" si="21"/>
        <v>3231.5999999999985</v>
      </c>
      <c r="Q42" s="148">
        <f t="shared" si="21"/>
        <v>5599.7773179858341</v>
      </c>
      <c r="R42" s="148">
        <f t="shared" si="21"/>
        <v>4052.3999999999942</v>
      </c>
      <c r="S42" s="148">
        <f t="shared" si="21"/>
        <v>1966.5999999999985</v>
      </c>
      <c r="T42" s="148">
        <f t="shared" si="21"/>
        <v>0</v>
      </c>
    </row>
    <row r="43" spans="2:24">
      <c r="B43" s="59" t="s">
        <v>731</v>
      </c>
      <c r="C43" s="71" t="s">
        <v>612</v>
      </c>
      <c r="D43" s="148">
        <f t="shared" si="22"/>
        <v>6141.1503405222247</v>
      </c>
      <c r="E43" s="148" t="str">
        <f t="shared" si="21"/>
        <v>Not Possible</v>
      </c>
      <c r="F43" s="148">
        <f t="shared" si="21"/>
        <v>0</v>
      </c>
      <c r="G43" s="148" t="str">
        <f t="shared" si="21"/>
        <v>Not Possible</v>
      </c>
      <c r="H43" s="148">
        <f t="shared" si="21"/>
        <v>214.59999999999854</v>
      </c>
      <c r="I43" s="148" t="str">
        <f t="shared" si="21"/>
        <v>Not Possible</v>
      </c>
      <c r="J43" s="148">
        <f t="shared" si="21"/>
        <v>1730</v>
      </c>
      <c r="K43" s="148">
        <f t="shared" si="21"/>
        <v>7063.0664386042408</v>
      </c>
      <c r="L43" s="148">
        <f t="shared" si="21"/>
        <v>2414.3999999999942</v>
      </c>
      <c r="M43" s="148">
        <f t="shared" si="21"/>
        <v>6622.7846956190988</v>
      </c>
      <c r="N43" s="148">
        <f t="shared" si="21"/>
        <v>3699.5999999999985</v>
      </c>
      <c r="O43" s="148">
        <f t="shared" si="21"/>
        <v>5639.2043123774638</v>
      </c>
      <c r="P43" s="148">
        <f t="shared" si="21"/>
        <v>3231.5999999999985</v>
      </c>
      <c r="Q43" s="148">
        <f t="shared" si="21"/>
        <v>6043.6851991804797</v>
      </c>
      <c r="R43" s="148">
        <f t="shared" si="21"/>
        <v>4052.3999999999942</v>
      </c>
      <c r="S43" s="148">
        <f t="shared" si="21"/>
        <v>1966.5999999999985</v>
      </c>
      <c r="T43" s="148">
        <f t="shared" si="21"/>
        <v>0</v>
      </c>
    </row>
    <row r="44" spans="2:24">
      <c r="B44" s="59" t="s">
        <v>731</v>
      </c>
      <c r="C44" s="71" t="s">
        <v>613</v>
      </c>
      <c r="D44" s="148" t="str">
        <f t="shared" si="22"/>
        <v>Not Possible</v>
      </c>
      <c r="E44" s="148" t="str">
        <f t="shared" si="22"/>
        <v>Not Possible</v>
      </c>
      <c r="F44" s="148">
        <f t="shared" si="22"/>
        <v>0</v>
      </c>
      <c r="G44" s="148" t="str">
        <f t="shared" si="22"/>
        <v>Not Possible</v>
      </c>
      <c r="H44" s="148">
        <f t="shared" si="22"/>
        <v>214.59999999999854</v>
      </c>
      <c r="I44" s="148" t="str">
        <f t="shared" si="22"/>
        <v>Not Possible</v>
      </c>
      <c r="J44" s="148">
        <f t="shared" si="22"/>
        <v>1730</v>
      </c>
      <c r="K44" s="148" t="str">
        <f t="shared" si="22"/>
        <v>Not Possible</v>
      </c>
      <c r="L44" s="148">
        <f t="shared" si="22"/>
        <v>2414.3999999999942</v>
      </c>
      <c r="M44" s="148">
        <f t="shared" si="22"/>
        <v>8259.2697241585265</v>
      </c>
      <c r="N44" s="148">
        <f t="shared" si="21"/>
        <v>3699.5999999999985</v>
      </c>
      <c r="O44" s="148">
        <f t="shared" si="21"/>
        <v>6083.1121935721094</v>
      </c>
      <c r="P44" s="148">
        <f t="shared" si="21"/>
        <v>3231.5999999999985</v>
      </c>
      <c r="Q44" s="148">
        <f t="shared" si="21"/>
        <v>6487.5930803751253</v>
      </c>
      <c r="R44" s="148">
        <f t="shared" si="21"/>
        <v>4052.3999999999942</v>
      </c>
      <c r="S44" s="148">
        <f t="shared" si="21"/>
        <v>1966.5999999999985</v>
      </c>
      <c r="T44" s="148">
        <f t="shared" si="21"/>
        <v>0</v>
      </c>
    </row>
    <row r="45" spans="2:24">
      <c r="B45" s="59" t="s">
        <v>731</v>
      </c>
      <c r="C45" s="71" t="s">
        <v>614</v>
      </c>
      <c r="D45" s="148" t="str">
        <f t="shared" si="22"/>
        <v>Not Possible</v>
      </c>
      <c r="E45" s="148" t="str">
        <f t="shared" si="22"/>
        <v>Not Possible</v>
      </c>
      <c r="F45" s="148">
        <f t="shared" si="22"/>
        <v>0</v>
      </c>
      <c r="G45" s="148" t="str">
        <f t="shared" si="22"/>
        <v>Not Possible</v>
      </c>
      <c r="H45" s="148">
        <f t="shared" si="22"/>
        <v>214.59999999999854</v>
      </c>
      <c r="I45" s="148" t="str">
        <f t="shared" si="22"/>
        <v>Not Possible</v>
      </c>
      <c r="J45" s="148">
        <f t="shared" si="22"/>
        <v>1730</v>
      </c>
      <c r="K45" s="148" t="str">
        <f t="shared" si="22"/>
        <v>Not Possible</v>
      </c>
      <c r="L45" s="148">
        <f t="shared" si="22"/>
        <v>2414.3999999999942</v>
      </c>
      <c r="M45" s="148" t="str">
        <f t="shared" si="22"/>
        <v>Not Possible</v>
      </c>
      <c r="N45" s="148">
        <f t="shared" si="21"/>
        <v>3699.5999999999985</v>
      </c>
      <c r="O45" s="148">
        <f t="shared" si="21"/>
        <v>7659.8701370723866</v>
      </c>
      <c r="P45" s="148">
        <f t="shared" si="21"/>
        <v>3231.5999999999985</v>
      </c>
      <c r="Q45" s="148">
        <f t="shared" si="21"/>
        <v>6931.5009615697709</v>
      </c>
      <c r="R45" s="148">
        <f t="shared" si="21"/>
        <v>4052.3999999999942</v>
      </c>
      <c r="S45" s="148">
        <f t="shared" si="21"/>
        <v>1966.5999999999985</v>
      </c>
      <c r="T45" s="148">
        <f t="shared" si="21"/>
        <v>0</v>
      </c>
    </row>
    <row r="46" spans="2:24">
      <c r="B46" s="59" t="s">
        <v>731</v>
      </c>
      <c r="C46" s="71" t="s">
        <v>615</v>
      </c>
      <c r="D46" s="148" t="str">
        <f t="shared" si="22"/>
        <v>Not Possible</v>
      </c>
      <c r="E46" s="148" t="str">
        <f t="shared" si="22"/>
        <v>Not Possible</v>
      </c>
      <c r="F46" s="148">
        <f t="shared" si="22"/>
        <v>2734.717553551156</v>
      </c>
      <c r="G46" s="148" t="str">
        <f t="shared" si="22"/>
        <v>Not Possible</v>
      </c>
      <c r="H46" s="148">
        <f t="shared" si="22"/>
        <v>2957.8437741906746</v>
      </c>
      <c r="I46" s="148" t="str">
        <f t="shared" si="22"/>
        <v>Not Possible</v>
      </c>
      <c r="J46" s="148">
        <f t="shared" si="22"/>
        <v>4751.5773118865109</v>
      </c>
      <c r="K46" s="148" t="str">
        <f t="shared" si="22"/>
        <v>Not Possible</v>
      </c>
      <c r="L46" s="148">
        <f t="shared" si="22"/>
        <v>5328.5154996123092</v>
      </c>
      <c r="M46" s="148" t="str">
        <f t="shared" si="22"/>
        <v>Not Possible</v>
      </c>
      <c r="N46" s="148">
        <f t="shared" si="21"/>
        <v>6529.7642364619314</v>
      </c>
      <c r="O46" s="148" t="str">
        <f t="shared" si="21"/>
        <v>Not Possible</v>
      </c>
      <c r="P46" s="148">
        <f t="shared" si="21"/>
        <v>5973.870056842643</v>
      </c>
      <c r="Q46" s="148" t="str">
        <f t="shared" si="21"/>
        <v>Not Possible</v>
      </c>
      <c r="R46" s="148">
        <f t="shared" si="21"/>
        <v>6723.6975604023901</v>
      </c>
      <c r="S46" s="148">
        <f t="shared" si="21"/>
        <v>4702.9133462066893</v>
      </c>
      <c r="T46" s="148">
        <f t="shared" si="21"/>
        <v>2741.6620183034902</v>
      </c>
    </row>
    <row r="47" spans="2:24">
      <c r="B47" s="59" t="s">
        <v>732</v>
      </c>
      <c r="C47" s="71" t="s">
        <v>609</v>
      </c>
      <c r="D47" s="148" t="str">
        <f t="shared" ref="D47:S53" si="23">IF(ISNUMBER(AP106),AP106,"Not Possible")</f>
        <v>Not Possible</v>
      </c>
      <c r="E47" s="148" t="str">
        <f t="shared" si="23"/>
        <v>Not Possible</v>
      </c>
      <c r="F47" s="148">
        <f t="shared" si="23"/>
        <v>0</v>
      </c>
      <c r="G47" s="148" t="str">
        <f t="shared" si="23"/>
        <v>Not Possible</v>
      </c>
      <c r="H47" s="148">
        <f t="shared" si="23"/>
        <v>223.1262206395113</v>
      </c>
      <c r="I47" s="148" t="str">
        <f t="shared" si="23"/>
        <v>Not Possible</v>
      </c>
      <c r="J47" s="148">
        <f t="shared" si="23"/>
        <v>2016.8597583353476</v>
      </c>
      <c r="K47" s="148" t="str">
        <f t="shared" si="23"/>
        <v>Not Possible</v>
      </c>
      <c r="L47" s="148">
        <f t="shared" si="23"/>
        <v>2593.7979460611532</v>
      </c>
      <c r="M47" s="148" t="str">
        <f t="shared" si="23"/>
        <v>Not Possible</v>
      </c>
      <c r="N47" s="148">
        <f t="shared" si="23"/>
        <v>3795.0466829107754</v>
      </c>
      <c r="O47" s="148" t="str">
        <f t="shared" si="23"/>
        <v>Not Possible</v>
      </c>
      <c r="P47" s="148">
        <f t="shared" si="23"/>
        <v>3239.1525032914869</v>
      </c>
      <c r="Q47" s="148">
        <f t="shared" si="23"/>
        <v>7749.9403602995808</v>
      </c>
      <c r="R47" s="148">
        <f t="shared" si="23"/>
        <v>3988.9800068512341</v>
      </c>
      <c r="S47" s="148">
        <f t="shared" si="23"/>
        <v>1968.195792655526</v>
      </c>
      <c r="T47" s="148">
        <f t="shared" ref="E47:T53" si="24">IF(ISNUMBER(BF106),BF106,"Not Possible")</f>
        <v>6.94446475233417</v>
      </c>
    </row>
    <row r="48" spans="2:24">
      <c r="B48" s="59" t="s">
        <v>732</v>
      </c>
      <c r="C48" s="71" t="s">
        <v>610</v>
      </c>
      <c r="D48" s="148" t="str">
        <f t="shared" si="23"/>
        <v>Not Possible</v>
      </c>
      <c r="E48" s="148" t="str">
        <f t="shared" si="24"/>
        <v>Not Possible</v>
      </c>
      <c r="F48" s="148">
        <f t="shared" si="24"/>
        <v>156.2299311973693</v>
      </c>
      <c r="G48" s="148" t="str">
        <f t="shared" si="24"/>
        <v>Not Possible</v>
      </c>
      <c r="H48" s="148">
        <f t="shared" si="24"/>
        <v>379.3561518368806</v>
      </c>
      <c r="I48" s="148" t="str">
        <f t="shared" si="24"/>
        <v>Not Possible</v>
      </c>
      <c r="J48" s="148">
        <f t="shared" si="24"/>
        <v>2173.0896895327169</v>
      </c>
      <c r="K48" s="148" t="str">
        <f t="shared" si="24"/>
        <v>Not Possible</v>
      </c>
      <c r="L48" s="148">
        <f t="shared" si="24"/>
        <v>2750.0278772585225</v>
      </c>
      <c r="M48" s="148" t="str">
        <f t="shared" si="24"/>
        <v>Not Possible</v>
      </c>
      <c r="N48" s="148">
        <f t="shared" si="24"/>
        <v>3951.2766141081447</v>
      </c>
      <c r="O48" s="148" t="str">
        <f t="shared" si="24"/>
        <v>Not Possible</v>
      </c>
      <c r="P48" s="148">
        <f t="shared" si="24"/>
        <v>3395.3824344888562</v>
      </c>
      <c r="Q48" s="148">
        <f t="shared" si="24"/>
        <v>8036.3619008280948</v>
      </c>
      <c r="R48" s="148">
        <f t="shared" si="24"/>
        <v>4145.2099380486034</v>
      </c>
      <c r="S48" s="148">
        <f t="shared" si="24"/>
        <v>2124.4257238528953</v>
      </c>
      <c r="T48" s="148">
        <f t="shared" si="24"/>
        <v>163.17439594970347</v>
      </c>
    </row>
    <row r="49" spans="2:58">
      <c r="B49" s="59" t="s">
        <v>732</v>
      </c>
      <c r="C49" s="71" t="s">
        <v>611</v>
      </c>
      <c r="D49" s="148" t="str">
        <f t="shared" si="23"/>
        <v>Not Possible</v>
      </c>
      <c r="E49" s="148" t="str">
        <f t="shared" si="24"/>
        <v>Not Possible</v>
      </c>
      <c r="F49" s="148">
        <f t="shared" si="24"/>
        <v>312.45986239473859</v>
      </c>
      <c r="G49" s="148" t="str">
        <f t="shared" si="24"/>
        <v>Not Possible</v>
      </c>
      <c r="H49" s="148">
        <f t="shared" si="24"/>
        <v>535.58608303425717</v>
      </c>
      <c r="I49" s="148" t="str">
        <f t="shared" si="24"/>
        <v>Not Possible</v>
      </c>
      <c r="J49" s="148">
        <f t="shared" si="24"/>
        <v>2329.3196207300934</v>
      </c>
      <c r="K49" s="148" t="str">
        <f t="shared" si="24"/>
        <v>Not Possible</v>
      </c>
      <c r="L49" s="148">
        <f t="shared" si="24"/>
        <v>2906.2578084558918</v>
      </c>
      <c r="M49" s="148" t="str">
        <f t="shared" si="24"/>
        <v>Not Possible</v>
      </c>
      <c r="N49" s="148">
        <f t="shared" si="24"/>
        <v>4107.506545305514</v>
      </c>
      <c r="O49" s="148" t="str">
        <f t="shared" si="24"/>
        <v>Not Possible</v>
      </c>
      <c r="P49" s="148">
        <f t="shared" si="24"/>
        <v>3551.6123656862255</v>
      </c>
      <c r="Q49" s="148" t="str">
        <f t="shared" si="24"/>
        <v>Not Possible</v>
      </c>
      <c r="R49" s="148">
        <f t="shared" si="24"/>
        <v>4301.4398692459727</v>
      </c>
      <c r="S49" s="148">
        <f t="shared" si="24"/>
        <v>2280.6556550502646</v>
      </c>
      <c r="T49" s="148">
        <f t="shared" si="24"/>
        <v>319.40432714707276</v>
      </c>
    </row>
    <row r="50" spans="2:58">
      <c r="B50" s="59" t="s">
        <v>732</v>
      </c>
      <c r="C50" s="71" t="s">
        <v>612</v>
      </c>
      <c r="D50" s="148" t="str">
        <f t="shared" si="23"/>
        <v>Not Possible</v>
      </c>
      <c r="E50" s="148" t="str">
        <f t="shared" si="24"/>
        <v>Not Possible</v>
      </c>
      <c r="F50" s="148">
        <f t="shared" si="24"/>
        <v>468.68979359210789</v>
      </c>
      <c r="G50" s="148" t="str">
        <f t="shared" si="24"/>
        <v>Not Possible</v>
      </c>
      <c r="H50" s="148">
        <f t="shared" si="24"/>
        <v>691.81601423162647</v>
      </c>
      <c r="I50" s="148" t="str">
        <f t="shared" si="24"/>
        <v>Not Possible</v>
      </c>
      <c r="J50" s="148">
        <f t="shared" si="24"/>
        <v>2485.5495519274627</v>
      </c>
      <c r="K50" s="148" t="str">
        <f t="shared" si="24"/>
        <v>Not Possible</v>
      </c>
      <c r="L50" s="148">
        <f t="shared" si="24"/>
        <v>3062.4877396532684</v>
      </c>
      <c r="M50" s="148" t="str">
        <f t="shared" si="24"/>
        <v>Not Possible</v>
      </c>
      <c r="N50" s="148">
        <f t="shared" si="24"/>
        <v>4263.7364765028833</v>
      </c>
      <c r="O50" s="148" t="str">
        <f t="shared" si="24"/>
        <v>Not Possible</v>
      </c>
      <c r="P50" s="148">
        <f t="shared" si="24"/>
        <v>3707.8422968835948</v>
      </c>
      <c r="Q50" s="148" t="str">
        <f t="shared" si="24"/>
        <v>Not Possible</v>
      </c>
      <c r="R50" s="148">
        <f t="shared" si="24"/>
        <v>4457.669800443342</v>
      </c>
      <c r="S50" s="148">
        <f t="shared" si="24"/>
        <v>2436.8855862476412</v>
      </c>
      <c r="T50" s="148">
        <f t="shared" si="24"/>
        <v>475.63425834444206</v>
      </c>
    </row>
    <row r="51" spans="2:58">
      <c r="B51" s="59" t="s">
        <v>732</v>
      </c>
      <c r="C51" s="71" t="s">
        <v>613</v>
      </c>
      <c r="D51" s="148" t="str">
        <f t="shared" si="23"/>
        <v>Not Possible</v>
      </c>
      <c r="E51" s="148" t="str">
        <f t="shared" si="24"/>
        <v>Not Possible</v>
      </c>
      <c r="F51" s="148">
        <f t="shared" si="24"/>
        <v>624.91972478948446</v>
      </c>
      <c r="G51" s="148" t="str">
        <f t="shared" si="24"/>
        <v>Not Possible</v>
      </c>
      <c r="H51" s="148">
        <f t="shared" si="24"/>
        <v>848.04594542899576</v>
      </c>
      <c r="I51" s="148" t="str">
        <f t="shared" si="24"/>
        <v>Not Possible</v>
      </c>
      <c r="J51" s="148">
        <f t="shared" si="24"/>
        <v>2641.779483124832</v>
      </c>
      <c r="K51" s="148" t="str">
        <f t="shared" si="24"/>
        <v>Not Possible</v>
      </c>
      <c r="L51" s="148">
        <f t="shared" si="24"/>
        <v>3218.7176708506377</v>
      </c>
      <c r="M51" s="148" t="str">
        <f t="shared" si="24"/>
        <v>Not Possible</v>
      </c>
      <c r="N51" s="148">
        <f t="shared" si="24"/>
        <v>4419.9664077002526</v>
      </c>
      <c r="O51" s="148" t="str">
        <f t="shared" si="24"/>
        <v>Not Possible</v>
      </c>
      <c r="P51" s="148">
        <f t="shared" si="24"/>
        <v>3864.0722280809641</v>
      </c>
      <c r="Q51" s="148" t="str">
        <f t="shared" si="24"/>
        <v>Not Possible</v>
      </c>
      <c r="R51" s="148">
        <f t="shared" si="24"/>
        <v>4613.8997316407113</v>
      </c>
      <c r="S51" s="148">
        <f t="shared" si="24"/>
        <v>2593.1155174450105</v>
      </c>
      <c r="T51" s="148">
        <f t="shared" si="24"/>
        <v>631.86418954181136</v>
      </c>
    </row>
    <row r="52" spans="2:58">
      <c r="B52" s="59" t="s">
        <v>732</v>
      </c>
      <c r="C52" s="71" t="s">
        <v>614</v>
      </c>
      <c r="D52" s="148" t="str">
        <f t="shared" si="23"/>
        <v>Not Possible</v>
      </c>
      <c r="E52" s="148" t="str">
        <f t="shared" si="24"/>
        <v>Not Possible</v>
      </c>
      <c r="F52" s="148">
        <f t="shared" si="24"/>
        <v>781.14965598685376</v>
      </c>
      <c r="G52" s="148" t="str">
        <f t="shared" si="24"/>
        <v>Not Possible</v>
      </c>
      <c r="H52" s="148">
        <f t="shared" si="24"/>
        <v>1004.2758766263651</v>
      </c>
      <c r="I52" s="148" t="str">
        <f t="shared" si="24"/>
        <v>Not Possible</v>
      </c>
      <c r="J52" s="148">
        <f t="shared" si="24"/>
        <v>2798.0094143222013</v>
      </c>
      <c r="K52" s="148" t="str">
        <f t="shared" si="24"/>
        <v>Not Possible</v>
      </c>
      <c r="L52" s="148">
        <f t="shared" si="24"/>
        <v>3374.947602048007</v>
      </c>
      <c r="M52" s="148" t="str">
        <f t="shared" si="24"/>
        <v>Not Possible</v>
      </c>
      <c r="N52" s="148">
        <f t="shared" si="24"/>
        <v>4576.1963388976219</v>
      </c>
      <c r="O52" s="148" t="str">
        <f t="shared" si="24"/>
        <v>Not Possible</v>
      </c>
      <c r="P52" s="148">
        <f t="shared" si="24"/>
        <v>4020.3021592783334</v>
      </c>
      <c r="Q52" s="148" t="str">
        <f t="shared" si="24"/>
        <v>Not Possible</v>
      </c>
      <c r="R52" s="148">
        <f t="shared" si="24"/>
        <v>4770.1296628380878</v>
      </c>
      <c r="S52" s="148">
        <f t="shared" si="24"/>
        <v>2749.3454486423798</v>
      </c>
      <c r="T52" s="148">
        <f t="shared" si="24"/>
        <v>788.09412073918065</v>
      </c>
    </row>
    <row r="53" spans="2:58">
      <c r="B53" s="59" t="s">
        <v>732</v>
      </c>
      <c r="C53" s="71" t="s">
        <v>615</v>
      </c>
      <c r="D53" s="148" t="str">
        <f t="shared" si="23"/>
        <v>Not Possible</v>
      </c>
      <c r="E53" s="148" t="str">
        <f t="shared" si="24"/>
        <v>Not Possible</v>
      </c>
      <c r="F53" s="148">
        <f t="shared" si="24"/>
        <v>1562.2993119737002</v>
      </c>
      <c r="G53" s="148" t="str">
        <f t="shared" si="24"/>
        <v>Not Possible</v>
      </c>
      <c r="H53" s="148">
        <f t="shared" si="24"/>
        <v>1785.4255326132188</v>
      </c>
      <c r="I53" s="148" t="str">
        <f t="shared" si="24"/>
        <v>Not Possible</v>
      </c>
      <c r="J53" s="148">
        <f t="shared" si="24"/>
        <v>3579.1590703090551</v>
      </c>
      <c r="K53" s="148" t="str">
        <f t="shared" si="24"/>
        <v>Not Possible</v>
      </c>
      <c r="L53" s="148">
        <f t="shared" si="24"/>
        <v>4156.0972580348534</v>
      </c>
      <c r="M53" s="148" t="str">
        <f t="shared" si="24"/>
        <v>Not Possible</v>
      </c>
      <c r="N53" s="148">
        <f t="shared" si="24"/>
        <v>5357.3459948844757</v>
      </c>
      <c r="O53" s="148" t="str">
        <f t="shared" si="24"/>
        <v>Not Possible</v>
      </c>
      <c r="P53" s="148">
        <f t="shared" si="24"/>
        <v>4801.4518152651872</v>
      </c>
      <c r="Q53" s="148" t="str">
        <f t="shared" si="24"/>
        <v>Not Possible</v>
      </c>
      <c r="R53" s="148">
        <f t="shared" si="24"/>
        <v>5551.2793188249343</v>
      </c>
      <c r="S53" s="148">
        <f t="shared" si="24"/>
        <v>3530.4951046292335</v>
      </c>
      <c r="T53" s="148">
        <f t="shared" si="24"/>
        <v>1569.2437767260344</v>
      </c>
    </row>
    <row r="54" spans="2:58">
      <c r="E54" s="11"/>
    </row>
    <row r="55" spans="2:58">
      <c r="B55" s="1" t="s">
        <v>669</v>
      </c>
      <c r="E55" s="11"/>
      <c r="V55" s="51" t="s">
        <v>706</v>
      </c>
    </row>
    <row r="56" spans="2:58" s="118" customFormat="1" ht="72">
      <c r="B56" s="115" t="s">
        <v>666</v>
      </c>
      <c r="C56" s="116" t="s">
        <v>676</v>
      </c>
      <c r="D56" s="117" t="str">
        <f t="shared" ref="D56:T56" si="25">D3</f>
        <v>Part L 21</v>
      </c>
      <c r="E56" s="117" t="str">
        <f t="shared" si="25"/>
        <v xml:space="preserve">Notional Building C&amp;B </v>
      </c>
      <c r="F56" s="117" t="str">
        <f t="shared" si="25"/>
        <v xml:space="preserve">Notional Building C&amp;B </v>
      </c>
      <c r="G56" s="117" t="str">
        <f t="shared" si="25"/>
        <v>35 kWh/m2.year</v>
      </c>
      <c r="H56" s="117" t="str">
        <f t="shared" si="25"/>
        <v>35 kWh/m2.year</v>
      </c>
      <c r="I56" s="117" t="str">
        <f t="shared" si="25"/>
        <v>35 kWh/m2.year</v>
      </c>
      <c r="J56" s="117" t="str">
        <f t="shared" si="25"/>
        <v>35 kWh/m2.year</v>
      </c>
      <c r="K56" s="117" t="str">
        <f t="shared" si="25"/>
        <v>30 kWh/m2.year</v>
      </c>
      <c r="L56" s="117" t="str">
        <f t="shared" si="25"/>
        <v>30 kWh/m2.year</v>
      </c>
      <c r="M56" s="117" t="str">
        <f t="shared" si="25"/>
        <v>25 kWh/m2.year</v>
      </c>
      <c r="N56" s="117" t="str">
        <f t="shared" si="25"/>
        <v>25 kWh/m2.year</v>
      </c>
      <c r="O56" s="117" t="str">
        <f t="shared" si="25"/>
        <v>20 kWh/m2.year</v>
      </c>
      <c r="P56" s="117" t="str">
        <f t="shared" si="25"/>
        <v>20 kWh/m2.year</v>
      </c>
      <c r="Q56" s="117" t="str">
        <f t="shared" si="25"/>
        <v>15 kWh/m2.year (Passivhaus)</v>
      </c>
      <c r="R56" s="117" t="str">
        <f t="shared" si="25"/>
        <v>15 kWh/m2.year (Passivhaus)</v>
      </c>
      <c r="S56" s="117" t="str">
        <f t="shared" si="25"/>
        <v>FHS</v>
      </c>
      <c r="T56" s="117" t="str">
        <f t="shared" si="25"/>
        <v>Bespoke</v>
      </c>
      <c r="V56" s="139" t="s">
        <v>16</v>
      </c>
      <c r="W56" s="117" t="s">
        <v>343</v>
      </c>
      <c r="X56" s="117" t="s">
        <v>435</v>
      </c>
      <c r="Y56" s="117" t="s">
        <v>436</v>
      </c>
      <c r="Z56" s="117" t="s">
        <v>437</v>
      </c>
      <c r="AA56" s="117" t="s">
        <v>438</v>
      </c>
      <c r="AB56" s="117" t="s">
        <v>439</v>
      </c>
      <c r="AC56" s="117" t="s">
        <v>440</v>
      </c>
      <c r="AD56" s="117" t="s">
        <v>441</v>
      </c>
      <c r="AE56" s="117" t="s">
        <v>442</v>
      </c>
      <c r="AF56" s="117" t="s">
        <v>443</v>
      </c>
      <c r="AG56" s="117" t="s">
        <v>444</v>
      </c>
      <c r="AH56" s="117" t="s">
        <v>445</v>
      </c>
      <c r="AI56" s="117" t="s">
        <v>446</v>
      </c>
      <c r="AJ56" s="117" t="s">
        <v>447</v>
      </c>
      <c r="AK56" s="117" t="s">
        <v>677</v>
      </c>
      <c r="AL56" s="117" t="s">
        <v>351</v>
      </c>
      <c r="AM56" s="117" t="s">
        <v>791</v>
      </c>
      <c r="AO56" s="144" t="s">
        <v>16</v>
      </c>
      <c r="AP56" s="117" t="s">
        <v>343</v>
      </c>
      <c r="AQ56" s="117" t="s">
        <v>435</v>
      </c>
      <c r="AR56" s="117" t="s">
        <v>436</v>
      </c>
      <c r="AS56" s="117" t="s">
        <v>437</v>
      </c>
      <c r="AT56" s="117" t="s">
        <v>438</v>
      </c>
      <c r="AU56" s="117" t="s">
        <v>439</v>
      </c>
      <c r="AV56" s="117" t="s">
        <v>440</v>
      </c>
      <c r="AW56" s="117" t="s">
        <v>441</v>
      </c>
      <c r="AX56" s="117" t="s">
        <v>442</v>
      </c>
      <c r="AY56" s="117" t="s">
        <v>443</v>
      </c>
      <c r="AZ56" s="117" t="s">
        <v>444</v>
      </c>
      <c r="BA56" s="117" t="s">
        <v>445</v>
      </c>
      <c r="BB56" s="117" t="s">
        <v>446</v>
      </c>
      <c r="BC56" s="117" t="s">
        <v>447</v>
      </c>
      <c r="BD56" s="117" t="s">
        <v>677</v>
      </c>
      <c r="BE56" s="117" t="s">
        <v>351</v>
      </c>
      <c r="BF56" s="117" t="s">
        <v>791</v>
      </c>
    </row>
    <row r="57" spans="2:58">
      <c r="B57" s="112" t="s">
        <v>667</v>
      </c>
      <c r="C57" s="129"/>
      <c r="D57" s="61"/>
      <c r="E57" s="113"/>
      <c r="F57" s="61"/>
      <c r="G57" s="61"/>
      <c r="H57" s="61"/>
      <c r="I57" s="61"/>
      <c r="J57" s="61"/>
      <c r="K57" s="61"/>
      <c r="L57" s="61"/>
      <c r="M57" s="61"/>
      <c r="N57" s="61"/>
      <c r="O57" s="61"/>
      <c r="P57" s="61"/>
      <c r="Q57" s="61"/>
      <c r="R57" s="61"/>
      <c r="S57" s="61"/>
      <c r="T57" s="59"/>
      <c r="V57" s="112" t="s">
        <v>667</v>
      </c>
      <c r="W57" s="59"/>
      <c r="X57" s="59"/>
      <c r="Y57" s="59"/>
      <c r="Z57" s="59"/>
      <c r="AA57" s="59"/>
      <c r="AB57" s="59"/>
      <c r="AC57" s="59"/>
      <c r="AD57" s="59"/>
      <c r="AE57" s="59"/>
      <c r="AF57" s="59"/>
      <c r="AG57" s="59"/>
      <c r="AH57" s="59"/>
      <c r="AI57" s="59"/>
      <c r="AJ57" s="59"/>
      <c r="AK57" s="59"/>
      <c r="AL57" s="59"/>
      <c r="AM57" s="59"/>
      <c r="AO57" s="133" t="s">
        <v>667</v>
      </c>
      <c r="AP57" s="132"/>
      <c r="AQ57" s="132"/>
      <c r="AR57" s="132"/>
      <c r="AS57" s="132"/>
      <c r="AT57" s="132"/>
      <c r="AU57" s="132"/>
      <c r="AV57" s="132"/>
      <c r="AW57" s="132"/>
      <c r="AX57" s="132"/>
      <c r="AY57" s="132"/>
      <c r="AZ57" s="132"/>
      <c r="BA57" s="132"/>
      <c r="BB57" s="132"/>
      <c r="BC57" s="132"/>
      <c r="BD57" s="132"/>
      <c r="BE57" s="132"/>
      <c r="BF57" s="132"/>
    </row>
    <row r="58" spans="2:58" s="4" customFormat="1">
      <c r="B58" s="130" t="s">
        <v>609</v>
      </c>
      <c r="C58" s="127">
        <f>SAP!D159</f>
        <v>10.808029267367754</v>
      </c>
      <c r="D58" s="131">
        <f>IF(IF(D$39&lt;=$C58,D$26,(((D$39-$C58)/SAP!$C$10)*'C&amp;B'!$D$13/SAP!$C$143)+D$26)&lt;=SAP!$D$151,IF(D$39&lt;=$C58,D$26,(((D$39-$C58)/SAP!$C$10)*'C&amp;B'!$D$13/SAP!$C$143)+D$26),"Not Possible")</f>
        <v>2.8976881763197095</v>
      </c>
      <c r="E58" s="131">
        <f>IF(IF(E$39&lt;=$C58,E$26,(((E$39-$C58)/SAP!$C$10)*'C&amp;B'!$D$13/SAP!$C$143)+E$26)&lt;=SAP!$D$151,IF(E$39&lt;=$C58,E$26,(((E$39-$C58)/SAP!$C$10)*'C&amp;B'!$D$13/SAP!$C$143)+E$26),"Not Possible")</f>
        <v>3.5990441941776083</v>
      </c>
      <c r="F58" s="131">
        <f>IF(IF(F$39&lt;=$C58,F$26,(((F$39-$C58)/SAP!$C$10)*'C&amp;B'!$D$13/SAP!$C$143)+F$26)&lt;=SAP!$D$151,IF(F$39&lt;=$C58,F$26,(((F$39-$C58)/SAP!$C$10)*'C&amp;B'!$D$13/SAP!$C$143)+F$26),"Not Possible")</f>
        <v>0</v>
      </c>
      <c r="G58" s="131">
        <f>IF(IF(G$39&lt;=$C58,G$26,(((G$39-$C58)/SAP!$C$10)*'C&amp;B'!$D$13/SAP!$C$143)+G$26)&lt;=SAP!$D$151,IF(G$39&lt;=$C58,G$26,(((G$39-$C58)/SAP!$C$10)*'C&amp;B'!$D$13/SAP!$C$143)+G$26),"Not Possible")</f>
        <v>3.6657807380654801</v>
      </c>
      <c r="H58" s="131">
        <f>IF(IF(H$39&lt;=$C58,H$26,(((H$39-$C58)/SAP!$C$10)*'C&amp;B'!$D$13/SAP!$C$143)+H$26)&lt;=SAP!$D$151,IF(H$39&lt;=$C58,H$26,(((H$39-$C58)/SAP!$C$10)*'C&amp;B'!$D$13/SAP!$C$143)+H$26),"Not Possible")</f>
        <v>0</v>
      </c>
      <c r="I58" s="131">
        <f>IF(IF(I$39&lt;=$C58,I$26,(((I$39-$C58)/SAP!$C$10)*'C&amp;B'!$D$13/SAP!$C$143)+I$26)&lt;=SAP!$D$151,IF(I$39&lt;=$C58,I$26,(((I$39-$C58)/SAP!$C$10)*'C&amp;B'!$D$13/SAP!$C$143)+I$26),"Not Possible")</f>
        <v>3.4917481268227895</v>
      </c>
      <c r="J58" s="131">
        <f>IF(IF(J$39&lt;=$C58,J$26,(((J$39-$C58)/SAP!$C$10)*'C&amp;B'!$D$13/SAP!$C$143)+J$26)&lt;=SAP!$D$151,IF(J$39&lt;=$C58,J$26,(((J$39-$C58)/SAP!$C$10)*'C&amp;B'!$D$13/SAP!$C$143)+J$26),"Not Possible")</f>
        <v>0</v>
      </c>
      <c r="K58" s="131">
        <f>IF(IF(K$39&lt;=$C58,K$26,(((K$39-$C58)/SAP!$C$10)*'C&amp;B'!$D$13/SAP!$C$143)+K$26)&lt;=SAP!$D$151,IF(K$39&lt;=$C58,K$26,(((K$39-$C58)/SAP!$C$10)*'C&amp;B'!$D$13/SAP!$C$143)+K$26),"Not Possible")</f>
        <v>2.4465209927579035</v>
      </c>
      <c r="L58" s="131">
        <f>IF(IF(L$39&lt;=$C58,L$26,(((L$39-$C58)/SAP!$C$10)*'C&amp;B'!$D$13/SAP!$C$143)+L$26)&lt;=SAP!$D$151,IF(L$39&lt;=$C58,L$26,(((L$39-$C58)/SAP!$C$10)*'C&amp;B'!$D$13/SAP!$C$143)+L$26),"Not Possible")</f>
        <v>0</v>
      </c>
      <c r="M58" s="131">
        <f>IF(IF(M$39&lt;=$C58,M$26,(((M$39-$C58)/SAP!$C$10)*'C&amp;B'!$D$13/SAP!$C$143)+M$26)&lt;=SAP!$D$151,IF(M$39&lt;=$C58,M$26,(((M$39-$C58)/SAP!$C$10)*'C&amp;B'!$D$13/SAP!$C$143)+M$26),"Not Possible")</f>
        <v>1.6257684200586071</v>
      </c>
      <c r="N58" s="131">
        <f>IF(IF(N$39&lt;=$C58,N$26,(((N$39-$C58)/SAP!$C$10)*'C&amp;B'!$D$13/SAP!$C$143)+N$26)&lt;=SAP!$D$151,IF(N$39&lt;=$C58,N$26,(((N$39-$C58)/SAP!$C$10)*'C&amp;B'!$D$13/SAP!$C$143)+N$26),"Not Possible")</f>
        <v>0</v>
      </c>
      <c r="O58" s="131">
        <f>IF(IF(O$39&lt;=$C58,O$26,(((O$39-$C58)/SAP!$C$10)*'C&amp;B'!$D$13/SAP!$C$143)+O$26)&lt;=SAP!$D$151,IF(O$39&lt;=$C58,O$26,(((O$39-$C58)/SAP!$C$10)*'C&amp;B'!$D$13/SAP!$C$143)+O$26),"Not Possible")</f>
        <v>0.76646778132255522</v>
      </c>
      <c r="P58" s="131">
        <f>IF(IF(P$39&lt;=$C58,P$26,(((P$39-$C58)/SAP!$C$10)*'C&amp;B'!$D$13/SAP!$C$143)+P$26)&lt;=SAP!$D$151,IF(P$39&lt;=$C58,P$26,(((P$39-$C58)/SAP!$C$10)*'C&amp;B'!$D$13/SAP!$C$143)+P$26),"Not Possible")</f>
        <v>0</v>
      </c>
      <c r="Q58" s="131">
        <f>IF(IF(Q$39&lt;=$C58,Q$26,(((Q$39-$C58)/SAP!$C$10)*'C&amp;B'!$D$13/SAP!$C$143)+Q$26)&lt;=SAP!$D$151,IF(Q$39&lt;=$C58,Q$26,(((Q$39-$C58)/SAP!$C$10)*'C&amp;B'!$D$13/SAP!$C$143)+Q$26),"Not Possible")</f>
        <v>7.2602592660919993E-2</v>
      </c>
      <c r="R58" s="131">
        <f>IF(IF(R$39&lt;=$C58,R$26,(((R$39-$C58)/SAP!$C$10)*'C&amp;B'!$D$13/SAP!$C$143)+R$26)&lt;=SAP!$D$151,IF(R$39&lt;=$C58,R$26,(((R$39-$C58)/SAP!$C$10)*'C&amp;B'!$D$13/SAP!$C$143)+R$26),"Not Possible")</f>
        <v>0</v>
      </c>
      <c r="S58" s="131">
        <f>IF(IF(S$39&lt;=$C58,S$26,(((S$39-$C58)/SAP!$C$10)*'C&amp;B'!$D$13/SAP!$C$143)+S$26)&lt;=SAP!$D$151,IF(S$39&lt;=$C58,S$26,(((S$39-$C58)/SAP!$C$10)*'C&amp;B'!$D$13/SAP!$C$143)+S$26),"Not Possible")</f>
        <v>0</v>
      </c>
      <c r="T58" s="131">
        <f>IF(IF(T$39&lt;=$C58,T$26,(((T$39-$C58)/SAP!$C$10)*'C&amp;B'!$D$13/SAP!$C$143)+T$26)&lt;=SAP!$D$151,IF(T$39&lt;=$C58,T$26,(((T$39-$C58)/SAP!$C$10)*'C&amp;B'!$D$13/SAP!$C$143)+T$26),"Not Possible")</f>
        <v>0</v>
      </c>
      <c r="V58" s="130" t="s">
        <v>609</v>
      </c>
      <c r="W58" s="82">
        <f>IF(D58=0,0,IF(D58&lt;4,'C&amp;B'!$E$316+(D58*'C&amp;B'!$E$317),D58*'C&amp;B'!$E$318))</f>
        <v>2838.6129057918261</v>
      </c>
      <c r="X58" s="82">
        <f>IF(E58=0,0,IF(E58&lt;4,'C&amp;B'!$E$316+(E58*'C&amp;B'!$E$317),E58*'C&amp;B'!$E$318))</f>
        <v>3259.4265165065649</v>
      </c>
      <c r="Y58" s="82">
        <f>IF(F58=0,0,IF(F58&lt;4,'C&amp;B'!$E$316+(F58*'C&amp;B'!$E$317),F58*'C&amp;B'!$E$318))</f>
        <v>0</v>
      </c>
      <c r="Z58" s="82">
        <f>IF(G58=0,0,IF(G58&lt;4,'C&amp;B'!$E$316+(G58*'C&amp;B'!$E$317),G58*'C&amp;B'!$E$318))</f>
        <v>3299.4684428392879</v>
      </c>
      <c r="AA58" s="82">
        <f>IF(H58=0,0,IF(H58&lt;4,'C&amp;B'!$E$316+(H58*'C&amp;B'!$E$317),H58*'C&amp;B'!$E$318))</f>
        <v>0</v>
      </c>
      <c r="AB58" s="82">
        <f>IF(I58=0,0,IF(I58&lt;4,'C&amp;B'!$E$316+(I58*'C&amp;B'!$E$317),I58*'C&amp;B'!$E$318))</f>
        <v>3195.0488760936737</v>
      </c>
      <c r="AC58" s="82">
        <f>IF(J58=0,0,IF(J58&lt;4,'C&amp;B'!$E$316+(J58*'C&amp;B'!$E$317),J58*'C&amp;B'!$E$318))</f>
        <v>0</v>
      </c>
      <c r="AD58" s="82">
        <f>IF(K58=0,0,IF(K58&lt;4,'C&amp;B'!$E$316+(K58*'C&amp;B'!$E$317),K58*'C&amp;B'!$E$318))</f>
        <v>2567.9125956547423</v>
      </c>
      <c r="AE58" s="82">
        <f>IF(L58=0,0,IF(L58&lt;4,'C&amp;B'!$E$316+(L58*'C&amp;B'!$E$317),L58*'C&amp;B'!$E$318))</f>
        <v>0</v>
      </c>
      <c r="AF58" s="82">
        <f>IF(M58=0,0,IF(M58&lt;4,'C&amp;B'!$E$316+(M58*'C&amp;B'!$E$317),M58*'C&amp;B'!$E$318))</f>
        <v>2075.4610520351644</v>
      </c>
      <c r="AG58" s="82">
        <f>IF(N58=0,0,IF(N58&lt;4,'C&amp;B'!$E$316+(N58*'C&amp;B'!$E$317),N58*'C&amp;B'!$E$318))</f>
        <v>0</v>
      </c>
      <c r="AH58" s="82">
        <f>IF(O58=0,0,IF(O58&lt;4,'C&amp;B'!$E$316+(O58*'C&amp;B'!$E$317),O58*'C&amp;B'!$E$318))</f>
        <v>1559.880668793533</v>
      </c>
      <c r="AI58" s="82">
        <f>IF(P58=0,0,IF(P58&lt;4,'C&amp;B'!$E$316+(P58*'C&amp;B'!$E$317),P58*'C&amp;B'!$E$318))</f>
        <v>0</v>
      </c>
      <c r="AJ58" s="82">
        <f>IF(Q58=0,0,IF(Q58&lt;4,'C&amp;B'!$E$316+(Q58*'C&amp;B'!$E$317),Q58*'C&amp;B'!$E$318))</f>
        <v>1143.5615555965519</v>
      </c>
      <c r="AK58" s="82">
        <f>IF(R58=0,0,IF(R58&lt;4,'C&amp;B'!$E$316+(R58*'C&amp;B'!$E$317),R58*'C&amp;B'!$E$318))</f>
        <v>0</v>
      </c>
      <c r="AL58" s="82">
        <f>IF(S58=0,0,IF(S58&lt;4,'C&amp;B'!$E$316+(S58*'C&amp;B'!$E$317),S58*'C&amp;B'!$E$318))</f>
        <v>0</v>
      </c>
      <c r="AM58" s="82">
        <f>IF(T58=0,0,IF(T58&lt;4,'C&amp;B'!$E$316+(T58*'C&amp;B'!$E$317),T58*'C&amp;B'!$E$318))</f>
        <v>0</v>
      </c>
      <c r="AO58" s="130" t="s">
        <v>609</v>
      </c>
      <c r="AP58" s="82">
        <f>AP$27-AP$26+W58</f>
        <v>50420.812905791827</v>
      </c>
      <c r="AQ58" s="82">
        <f t="shared" ref="AQ58:BF64" si="26">AQ$27-AQ$26+X58</f>
        <v>49845.426516506566</v>
      </c>
      <c r="AR58" s="82">
        <f t="shared" si="26"/>
        <v>47070</v>
      </c>
      <c r="AS58" s="82">
        <f t="shared" si="26"/>
        <v>50100.068442839285</v>
      </c>
      <c r="AT58" s="82">
        <f t="shared" si="26"/>
        <v>47284.6</v>
      </c>
      <c r="AU58" s="82">
        <f t="shared" si="26"/>
        <v>51511.048876093671</v>
      </c>
      <c r="AV58" s="82">
        <f t="shared" si="26"/>
        <v>48800</v>
      </c>
      <c r="AW58" s="82">
        <f t="shared" si="26"/>
        <v>51568.312595654745</v>
      </c>
      <c r="AX58" s="82">
        <f t="shared" si="26"/>
        <v>49484.399999999994</v>
      </c>
      <c r="AY58" s="82">
        <f t="shared" si="26"/>
        <v>52361.061052035162</v>
      </c>
      <c r="AZ58" s="82">
        <f t="shared" si="26"/>
        <v>50769.599999999999</v>
      </c>
      <c r="BA58" s="82">
        <f t="shared" si="26"/>
        <v>51377.480668793534</v>
      </c>
      <c r="BB58" s="82">
        <f t="shared" si="26"/>
        <v>50301.599999999999</v>
      </c>
      <c r="BC58" s="82">
        <f t="shared" si="26"/>
        <v>51781.961555596543</v>
      </c>
      <c r="BD58" s="82">
        <f t="shared" si="26"/>
        <v>51122.399999999994</v>
      </c>
      <c r="BE58" s="82">
        <f t="shared" si="26"/>
        <v>49036.6</v>
      </c>
      <c r="BF58" s="82">
        <f t="shared" si="26"/>
        <v>47070</v>
      </c>
    </row>
    <row r="59" spans="2:58" s="4" customFormat="1">
      <c r="B59" s="130" t="s">
        <v>610</v>
      </c>
      <c r="C59" s="127">
        <f>SAP!D160</f>
        <v>9.7272263406309794</v>
      </c>
      <c r="D59" s="131">
        <f>IF(IF(D$39&lt;=$C59,D$26,(((D$39-$C59)/SAP!$C$10)*'C&amp;B'!$D$13/SAP!$C$143)+D$26)&lt;=SAP!$D$151,IF(D$39&lt;=$C59,D$26,(((D$39-$C59)/SAP!$C$10)*'C&amp;B'!$D$13/SAP!$C$143)+D$26),"Not Possible")</f>
        <v>3.6375346449774497</v>
      </c>
      <c r="E59" s="131">
        <f>IF(IF(E$39&lt;=$C59,E$26,(((E$39-$C59)/SAP!$C$10)*'C&amp;B'!$D$13/SAP!$C$143)+E$26)&lt;=SAP!$D$151,IF(E$39&lt;=$C59,E$26,(((E$39-$C59)/SAP!$C$10)*'C&amp;B'!$D$13/SAP!$C$143)+E$26),"Not Possible")</f>
        <v>4.3388906628353494</v>
      </c>
      <c r="F59" s="131">
        <f>IF(IF(F$39&lt;=$C59,F$26,(((F$39-$C59)/SAP!$C$10)*'C&amp;B'!$D$13/SAP!$C$143)+F$26)&lt;=SAP!$D$151,IF(F$39&lt;=$C59,F$26,(((F$39-$C59)/SAP!$C$10)*'C&amp;B'!$D$13/SAP!$C$143)+F$26),"Not Possible")</f>
        <v>0</v>
      </c>
      <c r="G59" s="131">
        <f>IF(IF(G$39&lt;=$C59,G$26,(((G$39-$C59)/SAP!$C$10)*'C&amp;B'!$D$13/SAP!$C$143)+G$26)&lt;=SAP!$D$151,IF(G$39&lt;=$C59,G$26,(((G$39-$C59)/SAP!$C$10)*'C&amp;B'!$D$13/SAP!$C$143)+G$26),"Not Possible")</f>
        <v>4.4056272067232198</v>
      </c>
      <c r="H59" s="131">
        <f>IF(IF(H$39&lt;=$C59,H$26,(((H$39-$C59)/SAP!$C$10)*'C&amp;B'!$D$13/SAP!$C$143)+H$26)&lt;=SAP!$D$151,IF(H$39&lt;=$C59,H$26,(((H$39-$C59)/SAP!$C$10)*'C&amp;B'!$D$13/SAP!$C$143)+H$26),"Not Possible")</f>
        <v>0</v>
      </c>
      <c r="I59" s="131">
        <f>IF(IF(I$39&lt;=$C59,I$26,(((I$39-$C59)/SAP!$C$10)*'C&amp;B'!$D$13/SAP!$C$143)+I$26)&lt;=SAP!$D$151,IF(I$39&lt;=$C59,I$26,(((I$39-$C59)/SAP!$C$10)*'C&amp;B'!$D$13/SAP!$C$143)+I$26),"Not Possible")</f>
        <v>4.2315945954805292</v>
      </c>
      <c r="J59" s="131">
        <f>IF(IF(J$39&lt;=$C59,J$26,(((J$39-$C59)/SAP!$C$10)*'C&amp;B'!$D$13/SAP!$C$143)+J$26)&lt;=SAP!$D$151,IF(J$39&lt;=$C59,J$26,(((J$39-$C59)/SAP!$C$10)*'C&amp;B'!$D$13/SAP!$C$143)+J$26),"Not Possible")</f>
        <v>0</v>
      </c>
      <c r="K59" s="131">
        <f>IF(IF(K$39&lt;=$C59,K$26,(((K$39-$C59)/SAP!$C$10)*'C&amp;B'!$D$13/SAP!$C$143)+K$26)&lt;=SAP!$D$151,IF(K$39&lt;=$C59,K$26,(((K$39-$C59)/SAP!$C$10)*'C&amp;B'!$D$13/SAP!$C$143)+K$26),"Not Possible")</f>
        <v>3.1863674614156441</v>
      </c>
      <c r="L59" s="131">
        <f>IF(IF(L$39&lt;=$C59,L$26,(((L$39-$C59)/SAP!$C$10)*'C&amp;B'!$D$13/SAP!$C$143)+L$26)&lt;=SAP!$D$151,IF(L$39&lt;=$C59,L$26,(((L$39-$C59)/SAP!$C$10)*'C&amp;B'!$D$13/SAP!$C$143)+L$26),"Not Possible")</f>
        <v>0</v>
      </c>
      <c r="M59" s="131">
        <f>IF(IF(M$39&lt;=$C59,M$26,(((M$39-$C59)/SAP!$C$10)*'C&amp;B'!$D$13/SAP!$C$143)+M$26)&lt;=SAP!$D$151,IF(M$39&lt;=$C59,M$26,(((M$39-$C59)/SAP!$C$10)*'C&amp;B'!$D$13/SAP!$C$143)+M$26),"Not Possible")</f>
        <v>2.3656148887163475</v>
      </c>
      <c r="N59" s="131">
        <f>IF(IF(N$39&lt;=$C59,N$26,(((N$39-$C59)/SAP!$C$10)*'C&amp;B'!$D$13/SAP!$C$143)+N$26)&lt;=SAP!$D$151,IF(N$39&lt;=$C59,N$26,(((N$39-$C59)/SAP!$C$10)*'C&amp;B'!$D$13/SAP!$C$143)+N$26),"Not Possible")</f>
        <v>0</v>
      </c>
      <c r="O59" s="131">
        <f>IF(IF(O$39&lt;=$C59,O$26,(((O$39-$C59)/SAP!$C$10)*'C&amp;B'!$D$13/SAP!$C$143)+O$26)&lt;=SAP!$D$151,IF(O$39&lt;=$C59,O$26,(((O$39-$C59)/SAP!$C$10)*'C&amp;B'!$D$13/SAP!$C$143)+O$26),"Not Possible")</f>
        <v>1.5063142499802959</v>
      </c>
      <c r="P59" s="131">
        <f>IF(IF(P$39&lt;=$C59,P$26,(((P$39-$C59)/SAP!$C$10)*'C&amp;B'!$D$13/SAP!$C$143)+P$26)&lt;=SAP!$D$151,IF(P$39&lt;=$C59,P$26,(((P$39-$C59)/SAP!$C$10)*'C&amp;B'!$D$13/SAP!$C$143)+P$26),"Not Possible")</f>
        <v>0</v>
      </c>
      <c r="Q59" s="131">
        <f>IF(IF(Q$39&lt;=$C59,Q$26,(((Q$39-$C59)/SAP!$C$10)*'C&amp;B'!$D$13/SAP!$C$143)+Q$26)&lt;=SAP!$D$151,IF(Q$39&lt;=$C59,Q$26,(((Q$39-$C59)/SAP!$C$10)*'C&amp;B'!$D$13/SAP!$C$143)+Q$26),"Not Possible")</f>
        <v>0.81244906131866079</v>
      </c>
      <c r="R59" s="131">
        <f>IF(IF(R$39&lt;=$C59,R$26,(((R$39-$C59)/SAP!$C$10)*'C&amp;B'!$D$13/SAP!$C$143)+R$26)&lt;=SAP!$D$151,IF(R$39&lt;=$C59,R$26,(((R$39-$C59)/SAP!$C$10)*'C&amp;B'!$D$13/SAP!$C$143)+R$26),"Not Possible")</f>
        <v>0</v>
      </c>
      <c r="S59" s="131">
        <f>IF(IF(S$39&lt;=$C59,S$26,(((S$39-$C59)/SAP!$C$10)*'C&amp;B'!$D$13/SAP!$C$143)+S$26)&lt;=SAP!$D$151,IF(S$39&lt;=$C59,S$26,(((S$39-$C59)/SAP!$C$10)*'C&amp;B'!$D$13/SAP!$C$143)+S$26),"Not Possible")</f>
        <v>0</v>
      </c>
      <c r="T59" s="131">
        <f>IF(IF(T$39&lt;=$C59,T$26,(((T$39-$C59)/SAP!$C$10)*'C&amp;B'!$D$13/SAP!$C$143)+T$26)&lt;=SAP!$D$151,IF(T$39&lt;=$C59,T$26,(((T$39-$C59)/SAP!$C$10)*'C&amp;B'!$D$13/SAP!$C$143)+T$26),"Not Possible")</f>
        <v>0</v>
      </c>
      <c r="V59" s="130" t="s">
        <v>610</v>
      </c>
      <c r="W59" s="82">
        <f>IF(D59=0,0,IF(D59&lt;4,'C&amp;B'!$E$316+(D59*'C&amp;B'!$E$317),D59*'C&amp;B'!$E$318))</f>
        <v>3282.5207869864698</v>
      </c>
      <c r="X59" s="82">
        <f>IF(E59=0,0,IF(E59&lt;4,'C&amp;B'!$E$316+(E59*'C&amp;B'!$E$317),E59*'C&amp;B'!$E$318))</f>
        <v>4772.7797291188845</v>
      </c>
      <c r="Y59" s="82">
        <f>IF(F59=0,0,IF(F59&lt;4,'C&amp;B'!$E$316+(F59*'C&amp;B'!$E$317),F59*'C&amp;B'!$E$318))</f>
        <v>0</v>
      </c>
      <c r="Z59" s="82">
        <f>IF(G59=0,0,IF(G59&lt;4,'C&amp;B'!$E$316+(G59*'C&amp;B'!$E$317),G59*'C&amp;B'!$E$318))</f>
        <v>4846.1899273955414</v>
      </c>
      <c r="AA59" s="82">
        <f>IF(H59=0,0,IF(H59&lt;4,'C&amp;B'!$E$316+(H59*'C&amp;B'!$E$317),H59*'C&amp;B'!$E$318))</f>
        <v>0</v>
      </c>
      <c r="AB59" s="82">
        <f>IF(I59=0,0,IF(I59&lt;4,'C&amp;B'!$E$316+(I59*'C&amp;B'!$E$317),I59*'C&amp;B'!$E$318))</f>
        <v>4654.7540550285821</v>
      </c>
      <c r="AC59" s="82">
        <f>IF(J59=0,0,IF(J59&lt;4,'C&amp;B'!$E$316+(J59*'C&amp;B'!$E$317),J59*'C&amp;B'!$E$318))</f>
        <v>0</v>
      </c>
      <c r="AD59" s="82">
        <f>IF(K59=0,0,IF(K59&lt;4,'C&amp;B'!$E$316+(K59*'C&amp;B'!$E$317),K59*'C&amp;B'!$E$318))</f>
        <v>3011.8204768493865</v>
      </c>
      <c r="AE59" s="82">
        <f>IF(L59=0,0,IF(L59&lt;4,'C&amp;B'!$E$316+(L59*'C&amp;B'!$E$317),L59*'C&amp;B'!$E$318))</f>
        <v>0</v>
      </c>
      <c r="AF59" s="82">
        <f>IF(M59=0,0,IF(M59&lt;4,'C&amp;B'!$E$316+(M59*'C&amp;B'!$E$317),M59*'C&amp;B'!$E$318))</f>
        <v>2519.3689332298086</v>
      </c>
      <c r="AG59" s="82">
        <f>IF(N59=0,0,IF(N59&lt;4,'C&amp;B'!$E$316+(N59*'C&amp;B'!$E$317),N59*'C&amp;B'!$E$318))</f>
        <v>0</v>
      </c>
      <c r="AH59" s="82">
        <f>IF(O59=0,0,IF(O59&lt;4,'C&amp;B'!$E$316+(O59*'C&amp;B'!$E$317),O59*'C&amp;B'!$E$318))</f>
        <v>2003.7885499881777</v>
      </c>
      <c r="AI59" s="82">
        <f>IF(P59=0,0,IF(P59&lt;4,'C&amp;B'!$E$316+(P59*'C&amp;B'!$E$317),P59*'C&amp;B'!$E$318))</f>
        <v>0</v>
      </c>
      <c r="AJ59" s="82">
        <f>IF(Q59=0,0,IF(Q59&lt;4,'C&amp;B'!$E$316+(Q59*'C&amp;B'!$E$317),Q59*'C&amp;B'!$E$318))</f>
        <v>1587.4694367911966</v>
      </c>
      <c r="AK59" s="82">
        <f>IF(R59=0,0,IF(R59&lt;4,'C&amp;B'!$E$316+(R59*'C&amp;B'!$E$317),R59*'C&amp;B'!$E$318))</f>
        <v>0</v>
      </c>
      <c r="AL59" s="82">
        <f>IF(S59=0,0,IF(S59&lt;4,'C&amp;B'!$E$316+(S59*'C&amp;B'!$E$317),S59*'C&amp;B'!$E$318))</f>
        <v>0</v>
      </c>
      <c r="AM59" s="82">
        <f>IF(T59=0,0,IF(T59&lt;4,'C&amp;B'!$E$316+(T59*'C&amp;B'!$E$317),T59*'C&amp;B'!$E$318))</f>
        <v>0</v>
      </c>
      <c r="AO59" s="130" t="s">
        <v>610</v>
      </c>
      <c r="AP59" s="82">
        <f t="shared" ref="AP59:AP64" si="27">AP$27-AP$26+W59</f>
        <v>50864.720786986465</v>
      </c>
      <c r="AQ59" s="82">
        <f t="shared" si="26"/>
        <v>51358.779729118884</v>
      </c>
      <c r="AR59" s="82">
        <f t="shared" si="26"/>
        <v>47070</v>
      </c>
      <c r="AS59" s="82">
        <f t="shared" si="26"/>
        <v>51646.789927395541</v>
      </c>
      <c r="AT59" s="82">
        <f t="shared" si="26"/>
        <v>47284.6</v>
      </c>
      <c r="AU59" s="82">
        <f t="shared" si="26"/>
        <v>52970.754055028585</v>
      </c>
      <c r="AV59" s="82">
        <f t="shared" si="26"/>
        <v>48800</v>
      </c>
      <c r="AW59" s="82">
        <f t="shared" si="26"/>
        <v>52012.22047684939</v>
      </c>
      <c r="AX59" s="82">
        <f t="shared" si="26"/>
        <v>49484.399999999994</v>
      </c>
      <c r="AY59" s="82">
        <f t="shared" si="26"/>
        <v>52804.968933229808</v>
      </c>
      <c r="AZ59" s="82">
        <f t="shared" si="26"/>
        <v>50769.599999999999</v>
      </c>
      <c r="BA59" s="82">
        <f t="shared" si="26"/>
        <v>51821.388549988173</v>
      </c>
      <c r="BB59" s="82">
        <f t="shared" si="26"/>
        <v>50301.599999999999</v>
      </c>
      <c r="BC59" s="82">
        <f t="shared" si="26"/>
        <v>52225.869436791188</v>
      </c>
      <c r="BD59" s="82">
        <f t="shared" si="26"/>
        <v>51122.399999999994</v>
      </c>
      <c r="BE59" s="82">
        <f t="shared" si="26"/>
        <v>49036.6</v>
      </c>
      <c r="BF59" s="82">
        <f t="shared" si="26"/>
        <v>47070</v>
      </c>
    </row>
    <row r="60" spans="2:58" s="4" customFormat="1">
      <c r="B60" s="130" t="s">
        <v>611</v>
      </c>
      <c r="C60" s="127">
        <f>SAP!D161</f>
        <v>8.6464234138942029</v>
      </c>
      <c r="D60" s="131">
        <f>IF(IF(D$39&lt;=$C60,D$26,(((D$39-$C60)/SAP!$C$10)*'C&amp;B'!$D$13/SAP!$C$143)+D$26)&lt;=SAP!$D$151,IF(D$39&lt;=$C60,D$26,(((D$39-$C60)/SAP!$C$10)*'C&amp;B'!$D$13/SAP!$C$143)+D$26),"Not Possible")</f>
        <v>4.3773811136351917</v>
      </c>
      <c r="E60" s="131">
        <f>IF(IF(E$39&lt;=$C60,E$26,(((E$39-$C60)/SAP!$C$10)*'C&amp;B'!$D$13/SAP!$C$143)+E$26)&lt;=SAP!$D$151,IF(E$39&lt;=$C60,E$26,(((E$39-$C60)/SAP!$C$10)*'C&amp;B'!$D$13/SAP!$C$143)+E$26),"Not Possible")</f>
        <v>5.0787371314930914</v>
      </c>
      <c r="F60" s="131">
        <f>IF(IF(F$39&lt;=$C60,F$26,(((F$39-$C60)/SAP!$C$10)*'C&amp;B'!$D$13/SAP!$C$143)+F$26)&lt;=SAP!$D$151,IF(F$39&lt;=$C60,F$26,(((F$39-$C60)/SAP!$C$10)*'C&amp;B'!$D$13/SAP!$C$143)+F$26),"Not Possible")</f>
        <v>0</v>
      </c>
      <c r="G60" s="131">
        <f>IF(IF(G$39&lt;=$C60,G$26,(((G$39-$C60)/SAP!$C$10)*'C&amp;B'!$D$13/SAP!$C$143)+G$26)&lt;=SAP!$D$151,IF(G$39&lt;=$C60,G$26,(((G$39-$C60)/SAP!$C$10)*'C&amp;B'!$D$13/SAP!$C$143)+G$26),"Not Possible")</f>
        <v>5.1454736753809627</v>
      </c>
      <c r="H60" s="131">
        <f>IF(IF(H$39&lt;=$C60,H$26,(((H$39-$C60)/SAP!$C$10)*'C&amp;B'!$D$13/SAP!$C$143)+H$26)&lt;=SAP!$D$151,IF(H$39&lt;=$C60,H$26,(((H$39-$C60)/SAP!$C$10)*'C&amp;B'!$D$13/SAP!$C$143)+H$26),"Not Possible")</f>
        <v>0</v>
      </c>
      <c r="I60" s="131">
        <f>IF(IF(I$39&lt;=$C60,I$26,(((I$39-$C60)/SAP!$C$10)*'C&amp;B'!$D$13/SAP!$C$143)+I$26)&lt;=SAP!$D$151,IF(I$39&lt;=$C60,I$26,(((I$39-$C60)/SAP!$C$10)*'C&amp;B'!$D$13/SAP!$C$143)+I$26),"Not Possible")</f>
        <v>4.971441064138272</v>
      </c>
      <c r="J60" s="131">
        <f>IF(IF(J$39&lt;=$C60,J$26,(((J$39-$C60)/SAP!$C$10)*'C&amp;B'!$D$13/SAP!$C$143)+J$26)&lt;=SAP!$D$151,IF(J$39&lt;=$C60,J$26,(((J$39-$C60)/SAP!$C$10)*'C&amp;B'!$D$13/SAP!$C$143)+J$26),"Not Possible")</f>
        <v>0</v>
      </c>
      <c r="K60" s="131">
        <f>IF(IF(K$39&lt;=$C60,K$26,(((K$39-$C60)/SAP!$C$10)*'C&amp;B'!$D$13/SAP!$C$143)+K$26)&lt;=SAP!$D$151,IF(K$39&lt;=$C60,K$26,(((K$39-$C60)/SAP!$C$10)*'C&amp;B'!$D$13/SAP!$C$143)+K$26),"Not Possible")</f>
        <v>3.9262139300733865</v>
      </c>
      <c r="L60" s="131">
        <f>IF(IF(L$39&lt;=$C60,L$26,(((L$39-$C60)/SAP!$C$10)*'C&amp;B'!$D$13/SAP!$C$143)+L$26)&lt;=SAP!$D$151,IF(L$39&lt;=$C60,L$26,(((L$39-$C60)/SAP!$C$10)*'C&amp;B'!$D$13/SAP!$C$143)+L$26),"Not Possible")</f>
        <v>0</v>
      </c>
      <c r="M60" s="131">
        <f>IF(IF(M$39&lt;=$C60,M$26,(((M$39-$C60)/SAP!$C$10)*'C&amp;B'!$D$13/SAP!$C$143)+M$26)&lt;=SAP!$D$151,IF(M$39&lt;=$C60,M$26,(((M$39-$C60)/SAP!$C$10)*'C&amp;B'!$D$13/SAP!$C$143)+M$26),"Not Possible")</f>
        <v>3.1054613573740899</v>
      </c>
      <c r="N60" s="131">
        <f>IF(IF(N$39&lt;=$C60,N$26,(((N$39-$C60)/SAP!$C$10)*'C&amp;B'!$D$13/SAP!$C$143)+N$26)&lt;=SAP!$D$151,IF(N$39&lt;=$C60,N$26,(((N$39-$C60)/SAP!$C$10)*'C&amp;B'!$D$13/SAP!$C$143)+N$26),"Not Possible")</f>
        <v>0</v>
      </c>
      <c r="O60" s="131">
        <f>IF(IF(O$39&lt;=$C60,O$26,(((O$39-$C60)/SAP!$C$10)*'C&amp;B'!$D$13/SAP!$C$143)+O$26)&lt;=SAP!$D$151,IF(O$39&lt;=$C60,O$26,(((O$39-$C60)/SAP!$C$10)*'C&amp;B'!$D$13/SAP!$C$143)+O$26),"Not Possible")</f>
        <v>2.2461607186380381</v>
      </c>
      <c r="P60" s="131">
        <f>IF(IF(P$39&lt;=$C60,P$26,(((P$39-$C60)/SAP!$C$10)*'C&amp;B'!$D$13/SAP!$C$143)+P$26)&lt;=SAP!$D$151,IF(P$39&lt;=$C60,P$26,(((P$39-$C60)/SAP!$C$10)*'C&amp;B'!$D$13/SAP!$C$143)+P$26),"Not Possible")</f>
        <v>0</v>
      </c>
      <c r="Q60" s="131">
        <f>IF(IF(Q$39&lt;=$C60,Q$26,(((Q$39-$C60)/SAP!$C$10)*'C&amp;B'!$D$13/SAP!$C$143)+Q$26)&lt;=SAP!$D$151,IF(Q$39&lt;=$C60,Q$26,(((Q$39-$C60)/SAP!$C$10)*'C&amp;B'!$D$13/SAP!$C$143)+Q$26),"Not Possible")</f>
        <v>1.5522955299764027</v>
      </c>
      <c r="R60" s="131">
        <f>IF(IF(R$39&lt;=$C60,R$26,(((R$39-$C60)/SAP!$C$10)*'C&amp;B'!$D$13/SAP!$C$143)+R$26)&lt;=SAP!$D$151,IF(R$39&lt;=$C60,R$26,(((R$39-$C60)/SAP!$C$10)*'C&amp;B'!$D$13/SAP!$C$143)+R$26),"Not Possible")</f>
        <v>0</v>
      </c>
      <c r="S60" s="131">
        <f>IF(IF(S$39&lt;=$C60,S$26,(((S$39-$C60)/SAP!$C$10)*'C&amp;B'!$D$13/SAP!$C$143)+S$26)&lt;=SAP!$D$151,IF(S$39&lt;=$C60,S$26,(((S$39-$C60)/SAP!$C$10)*'C&amp;B'!$D$13/SAP!$C$143)+S$26),"Not Possible")</f>
        <v>0</v>
      </c>
      <c r="T60" s="131">
        <f>IF(IF(T$39&lt;=$C60,T$26,(((T$39-$C60)/SAP!$C$10)*'C&amp;B'!$D$13/SAP!$C$143)+T$26)&lt;=SAP!$D$151,IF(T$39&lt;=$C60,T$26,(((T$39-$C60)/SAP!$C$10)*'C&amp;B'!$D$13/SAP!$C$143)+T$26),"Not Possible")</f>
        <v>0</v>
      </c>
      <c r="V60" s="130" t="s">
        <v>611</v>
      </c>
      <c r="W60" s="82">
        <f>IF(D60=0,0,IF(D60&lt;4,'C&amp;B'!$E$316+(D60*'C&amp;B'!$E$317),D60*'C&amp;B'!$E$318))</f>
        <v>4815.1192249987107</v>
      </c>
      <c r="X60" s="82">
        <f>IF(E60=0,0,IF(E60&lt;4,'C&amp;B'!$E$316+(E60*'C&amp;B'!$E$317),E60*'C&amp;B'!$E$318))</f>
        <v>5586.6108446424005</v>
      </c>
      <c r="Y60" s="82">
        <f>IF(F60=0,0,IF(F60&lt;4,'C&amp;B'!$E$316+(F60*'C&amp;B'!$E$317),F60*'C&amp;B'!$E$318))</f>
        <v>0</v>
      </c>
      <c r="Z60" s="82">
        <f>IF(G60=0,0,IF(G60&lt;4,'C&amp;B'!$E$316+(G60*'C&amp;B'!$E$317),G60*'C&amp;B'!$E$318))</f>
        <v>5660.0210429190593</v>
      </c>
      <c r="AA60" s="82">
        <f>IF(H60=0,0,IF(H60&lt;4,'C&amp;B'!$E$316+(H60*'C&amp;B'!$E$317),H60*'C&amp;B'!$E$318))</f>
        <v>0</v>
      </c>
      <c r="AB60" s="82">
        <f>IF(I60=0,0,IF(I60&lt;4,'C&amp;B'!$E$316+(I60*'C&amp;B'!$E$317),I60*'C&amp;B'!$E$318))</f>
        <v>5468.585170552099</v>
      </c>
      <c r="AC60" s="82">
        <f>IF(J60=0,0,IF(J60&lt;4,'C&amp;B'!$E$316+(J60*'C&amp;B'!$E$317),J60*'C&amp;B'!$E$318))</f>
        <v>0</v>
      </c>
      <c r="AD60" s="82">
        <f>IF(K60=0,0,IF(K60&lt;4,'C&amp;B'!$E$316+(K60*'C&amp;B'!$E$317),K60*'C&amp;B'!$E$318))</f>
        <v>3455.7283580440317</v>
      </c>
      <c r="AE60" s="82">
        <f>IF(L60=0,0,IF(L60&lt;4,'C&amp;B'!$E$316+(L60*'C&amp;B'!$E$317),L60*'C&amp;B'!$E$318))</f>
        <v>0</v>
      </c>
      <c r="AF60" s="82">
        <f>IF(M60=0,0,IF(M60&lt;4,'C&amp;B'!$E$316+(M60*'C&amp;B'!$E$317),M60*'C&amp;B'!$E$318))</f>
        <v>2963.2768144244537</v>
      </c>
      <c r="AG60" s="82">
        <f>IF(N60=0,0,IF(N60&lt;4,'C&amp;B'!$E$316+(N60*'C&amp;B'!$E$317),N60*'C&amp;B'!$E$318))</f>
        <v>0</v>
      </c>
      <c r="AH60" s="82">
        <f>IF(O60=0,0,IF(O60&lt;4,'C&amp;B'!$E$316+(O60*'C&amp;B'!$E$317),O60*'C&amp;B'!$E$318))</f>
        <v>2447.6964311828228</v>
      </c>
      <c r="AI60" s="82">
        <f>IF(P60=0,0,IF(P60&lt;4,'C&amp;B'!$E$316+(P60*'C&amp;B'!$E$317),P60*'C&amp;B'!$E$318))</f>
        <v>0</v>
      </c>
      <c r="AJ60" s="82">
        <f>IF(Q60=0,0,IF(Q60&lt;4,'C&amp;B'!$E$316+(Q60*'C&amp;B'!$E$317),Q60*'C&amp;B'!$E$318))</f>
        <v>2031.3773179858417</v>
      </c>
      <c r="AK60" s="82">
        <f>IF(R60=0,0,IF(R60&lt;4,'C&amp;B'!$E$316+(R60*'C&amp;B'!$E$317),R60*'C&amp;B'!$E$318))</f>
        <v>0</v>
      </c>
      <c r="AL60" s="82">
        <f>IF(S60=0,0,IF(S60&lt;4,'C&amp;B'!$E$316+(S60*'C&amp;B'!$E$317),S60*'C&amp;B'!$E$318))</f>
        <v>0</v>
      </c>
      <c r="AM60" s="82">
        <f>IF(T60=0,0,IF(T60&lt;4,'C&amp;B'!$E$316+(T60*'C&amp;B'!$E$317),T60*'C&amp;B'!$E$318))</f>
        <v>0</v>
      </c>
      <c r="AO60" s="130" t="s">
        <v>611</v>
      </c>
      <c r="AP60" s="82">
        <f t="shared" si="27"/>
        <v>52397.319224998704</v>
      </c>
      <c r="AQ60" s="82">
        <f t="shared" si="26"/>
        <v>52172.610844642404</v>
      </c>
      <c r="AR60" s="82">
        <f t="shared" si="26"/>
        <v>47070</v>
      </c>
      <c r="AS60" s="82">
        <f t="shared" si="26"/>
        <v>52460.621042919054</v>
      </c>
      <c r="AT60" s="82">
        <f t="shared" si="26"/>
        <v>47284.6</v>
      </c>
      <c r="AU60" s="82">
        <f t="shared" si="26"/>
        <v>53784.585170552098</v>
      </c>
      <c r="AV60" s="82">
        <f t="shared" si="26"/>
        <v>48800</v>
      </c>
      <c r="AW60" s="82">
        <f t="shared" si="26"/>
        <v>52456.128358044036</v>
      </c>
      <c r="AX60" s="82">
        <f t="shared" si="26"/>
        <v>49484.399999999994</v>
      </c>
      <c r="AY60" s="82">
        <f t="shared" si="26"/>
        <v>53248.876814424453</v>
      </c>
      <c r="AZ60" s="82">
        <f t="shared" si="26"/>
        <v>50769.599999999999</v>
      </c>
      <c r="BA60" s="82">
        <f t="shared" si="26"/>
        <v>52265.296431182818</v>
      </c>
      <c r="BB60" s="82">
        <f t="shared" si="26"/>
        <v>50301.599999999999</v>
      </c>
      <c r="BC60" s="82">
        <f t="shared" si="26"/>
        <v>52669.777317985834</v>
      </c>
      <c r="BD60" s="82">
        <f t="shared" si="26"/>
        <v>51122.399999999994</v>
      </c>
      <c r="BE60" s="82">
        <f t="shared" si="26"/>
        <v>49036.6</v>
      </c>
      <c r="BF60" s="82">
        <f t="shared" si="26"/>
        <v>47070</v>
      </c>
    </row>
    <row r="61" spans="2:58" s="4" customFormat="1">
      <c r="B61" s="130" t="s">
        <v>612</v>
      </c>
      <c r="C61" s="127">
        <f>SAP!D162</f>
        <v>7.5656204871574273</v>
      </c>
      <c r="D61" s="131">
        <f>IF(IF(D$39&lt;=$C61,D$26,(((D$39-$C61)/SAP!$C$10)*'C&amp;B'!$D$13/SAP!$C$143)+D$26)&lt;=SAP!$D$151,IF(D$39&lt;=$C61,D$26,(((D$39-$C61)/SAP!$C$10)*'C&amp;B'!$D$13/SAP!$C$143)+D$26),"Not Possible")</f>
        <v>5.1172275822929336</v>
      </c>
      <c r="E61" s="131" t="str">
        <f>IF(IF(E$39&lt;=$C61,E$26,(((E$39-$C61)/SAP!$C$10)*'C&amp;B'!$D$13/SAP!$C$143)+E$26)&lt;=SAP!$D$151,IF(E$39&lt;=$C61,E$26,(((E$39-$C61)/SAP!$C$10)*'C&amp;B'!$D$13/SAP!$C$143)+E$26),"Not Possible")</f>
        <v>Not Possible</v>
      </c>
      <c r="F61" s="131">
        <f>IF(IF(F$39&lt;=$C61,F$26,(((F$39-$C61)/SAP!$C$10)*'C&amp;B'!$D$13/SAP!$C$143)+F$26)&lt;=SAP!$D$151,IF(F$39&lt;=$C61,F$26,(((F$39-$C61)/SAP!$C$10)*'C&amp;B'!$D$13/SAP!$C$143)+F$26),"Not Possible")</f>
        <v>0</v>
      </c>
      <c r="G61" s="131" t="str">
        <f>IF(IF(G$39&lt;=$C61,G$26,(((G$39-$C61)/SAP!$C$10)*'C&amp;B'!$D$13/SAP!$C$143)+G$26)&lt;=SAP!$D$151,IF(G$39&lt;=$C61,G$26,(((G$39-$C61)/SAP!$C$10)*'C&amp;B'!$D$13/SAP!$C$143)+G$26),"Not Possible")</f>
        <v>Not Possible</v>
      </c>
      <c r="H61" s="131">
        <f>IF(IF(H$39&lt;=$C61,H$26,(((H$39-$C61)/SAP!$C$10)*'C&amp;B'!$D$13/SAP!$C$143)+H$26)&lt;=SAP!$D$151,IF(H$39&lt;=$C61,H$26,(((H$39-$C61)/SAP!$C$10)*'C&amp;B'!$D$13/SAP!$C$143)+H$26),"Not Possible")</f>
        <v>0</v>
      </c>
      <c r="I61" s="131" t="str">
        <f>IF(IF(I$39&lt;=$C61,I$26,(((I$39-$C61)/SAP!$C$10)*'C&amp;B'!$D$13/SAP!$C$143)+I$26)&lt;=SAP!$D$151,IF(I$39&lt;=$C61,I$26,(((I$39-$C61)/SAP!$C$10)*'C&amp;B'!$D$13/SAP!$C$143)+I$26),"Not Possible")</f>
        <v>Not Possible</v>
      </c>
      <c r="J61" s="131">
        <f>IF(IF(J$39&lt;=$C61,J$26,(((J$39-$C61)/SAP!$C$10)*'C&amp;B'!$D$13/SAP!$C$143)+J$26)&lt;=SAP!$D$151,IF(J$39&lt;=$C61,J$26,(((J$39-$C61)/SAP!$C$10)*'C&amp;B'!$D$13/SAP!$C$143)+J$26),"Not Possible")</f>
        <v>0</v>
      </c>
      <c r="K61" s="131">
        <f>IF(IF(K$39&lt;=$C61,K$26,(((K$39-$C61)/SAP!$C$10)*'C&amp;B'!$D$13/SAP!$C$143)+K$26)&lt;=SAP!$D$151,IF(K$39&lt;=$C61,K$26,(((K$39-$C61)/SAP!$C$10)*'C&amp;B'!$D$13/SAP!$C$143)+K$26),"Not Possible")</f>
        <v>4.666060398731128</v>
      </c>
      <c r="L61" s="131">
        <f>IF(IF(L$39&lt;=$C61,L$26,(((L$39-$C61)/SAP!$C$10)*'C&amp;B'!$D$13/SAP!$C$143)+L$26)&lt;=SAP!$D$151,IF(L$39&lt;=$C61,L$26,(((L$39-$C61)/SAP!$C$10)*'C&amp;B'!$D$13/SAP!$C$143)+L$26),"Not Possible")</f>
        <v>0</v>
      </c>
      <c r="M61" s="131">
        <f>IF(IF(M$39&lt;=$C61,M$26,(((M$39-$C61)/SAP!$C$10)*'C&amp;B'!$D$13/SAP!$C$143)+M$26)&lt;=SAP!$D$151,IF(M$39&lt;=$C61,M$26,(((M$39-$C61)/SAP!$C$10)*'C&amp;B'!$D$13/SAP!$C$143)+M$26),"Not Possible")</f>
        <v>3.8453078260318314</v>
      </c>
      <c r="N61" s="131">
        <f>IF(IF(N$39&lt;=$C61,N$26,(((N$39-$C61)/SAP!$C$10)*'C&amp;B'!$D$13/SAP!$C$143)+N$26)&lt;=SAP!$D$151,IF(N$39&lt;=$C61,N$26,(((N$39-$C61)/SAP!$C$10)*'C&amp;B'!$D$13/SAP!$C$143)+N$26),"Not Possible")</f>
        <v>0</v>
      </c>
      <c r="O61" s="131">
        <f>IF(IF(O$39&lt;=$C61,O$26,(((O$39-$C61)/SAP!$C$10)*'C&amp;B'!$D$13/SAP!$C$143)+O$26)&lt;=SAP!$D$151,IF(O$39&lt;=$C61,O$26,(((O$39-$C61)/SAP!$C$10)*'C&amp;B'!$D$13/SAP!$C$143)+O$26),"Not Possible")</f>
        <v>2.9860071872957792</v>
      </c>
      <c r="P61" s="131">
        <f>IF(IF(P$39&lt;=$C61,P$26,(((P$39-$C61)/SAP!$C$10)*'C&amp;B'!$D$13/SAP!$C$143)+P$26)&lt;=SAP!$D$151,IF(P$39&lt;=$C61,P$26,(((P$39-$C61)/SAP!$C$10)*'C&amp;B'!$D$13/SAP!$C$143)+P$26),"Not Possible")</f>
        <v>0</v>
      </c>
      <c r="Q61" s="131">
        <f>IF(IF(Q$39&lt;=$C61,Q$26,(((Q$39-$C61)/SAP!$C$10)*'C&amp;B'!$D$13/SAP!$C$143)+Q$26)&lt;=SAP!$D$151,IF(Q$39&lt;=$C61,Q$26,(((Q$39-$C61)/SAP!$C$10)*'C&amp;B'!$D$13/SAP!$C$143)+Q$26),"Not Possible")</f>
        <v>2.2921419986341438</v>
      </c>
      <c r="R61" s="131">
        <f>IF(IF(R$39&lt;=$C61,R$26,(((R$39-$C61)/SAP!$C$10)*'C&amp;B'!$D$13/SAP!$C$143)+R$26)&lt;=SAP!$D$151,IF(R$39&lt;=$C61,R$26,(((R$39-$C61)/SAP!$C$10)*'C&amp;B'!$D$13/SAP!$C$143)+R$26),"Not Possible")</f>
        <v>0</v>
      </c>
      <c r="S61" s="131">
        <f>IF(IF(S$39&lt;=$C61,S$26,(((S$39-$C61)/SAP!$C$10)*'C&amp;B'!$D$13/SAP!$C$143)+S$26)&lt;=SAP!$D$151,IF(S$39&lt;=$C61,S$26,(((S$39-$C61)/SAP!$C$10)*'C&amp;B'!$D$13/SAP!$C$143)+S$26),"Not Possible")</f>
        <v>0</v>
      </c>
      <c r="T61" s="131">
        <f>IF(IF(T$39&lt;=$C61,T$26,(((T$39-$C61)/SAP!$C$10)*'C&amp;B'!$D$13/SAP!$C$143)+T$26)&lt;=SAP!$D$151,IF(T$39&lt;=$C61,T$26,(((T$39-$C61)/SAP!$C$10)*'C&amp;B'!$D$13/SAP!$C$143)+T$26),"Not Possible")</f>
        <v>0</v>
      </c>
      <c r="V61" s="130" t="s">
        <v>612</v>
      </c>
      <c r="W61" s="82">
        <f>IF(D61=0,0,IF(D61&lt;4,'C&amp;B'!$E$316+(D61*'C&amp;B'!$E$317),D61*'C&amp;B'!$E$318))</f>
        <v>5628.9503405222267</v>
      </c>
      <c r="X61" s="82" t="e">
        <f>IF(E61=0,0,IF(E61&lt;4,'C&amp;B'!$E$316+(E61*'C&amp;B'!$E$317),E61*'C&amp;B'!$E$318))</f>
        <v>#VALUE!</v>
      </c>
      <c r="Y61" s="82">
        <f>IF(F61=0,0,IF(F61&lt;4,'C&amp;B'!$E$316+(F61*'C&amp;B'!$E$317),F61*'C&amp;B'!$E$318))</f>
        <v>0</v>
      </c>
      <c r="Z61" s="82" t="e">
        <f>IF(G61=0,0,IF(G61&lt;4,'C&amp;B'!$E$316+(G61*'C&amp;B'!$E$317),G61*'C&amp;B'!$E$318))</f>
        <v>#VALUE!</v>
      </c>
      <c r="AA61" s="82">
        <f>IF(H61=0,0,IF(H61&lt;4,'C&amp;B'!$E$316+(H61*'C&amp;B'!$E$317),H61*'C&amp;B'!$E$318))</f>
        <v>0</v>
      </c>
      <c r="AB61" s="82" t="e">
        <f>IF(I61=0,0,IF(I61&lt;4,'C&amp;B'!$E$316+(I61*'C&amp;B'!$E$317),I61*'C&amp;B'!$E$318))</f>
        <v>#VALUE!</v>
      </c>
      <c r="AC61" s="82">
        <f>IF(J61=0,0,IF(J61&lt;4,'C&amp;B'!$E$316+(J61*'C&amp;B'!$E$317),J61*'C&amp;B'!$E$318))</f>
        <v>0</v>
      </c>
      <c r="AD61" s="82">
        <f>IF(K61=0,0,IF(K61&lt;4,'C&amp;B'!$E$316+(K61*'C&amp;B'!$E$317),K61*'C&amp;B'!$E$318))</f>
        <v>5132.6664386042412</v>
      </c>
      <c r="AE61" s="82">
        <f>IF(L61=0,0,IF(L61&lt;4,'C&amp;B'!$E$316+(L61*'C&amp;B'!$E$317),L61*'C&amp;B'!$E$318))</f>
        <v>0</v>
      </c>
      <c r="AF61" s="82">
        <f>IF(M61=0,0,IF(M61&lt;4,'C&amp;B'!$E$316+(M61*'C&amp;B'!$E$317),M61*'C&amp;B'!$E$318))</f>
        <v>3407.1846956190989</v>
      </c>
      <c r="AG61" s="82">
        <f>IF(N61=0,0,IF(N61&lt;4,'C&amp;B'!$E$316+(N61*'C&amp;B'!$E$317),N61*'C&amp;B'!$E$318))</f>
        <v>0</v>
      </c>
      <c r="AH61" s="82">
        <f>IF(O61=0,0,IF(O61&lt;4,'C&amp;B'!$E$316+(O61*'C&amp;B'!$E$317),O61*'C&amp;B'!$E$318))</f>
        <v>2891.6043123774675</v>
      </c>
      <c r="AI61" s="82">
        <f>IF(P61=0,0,IF(P61&lt;4,'C&amp;B'!$E$316+(P61*'C&amp;B'!$E$317),P61*'C&amp;B'!$E$318))</f>
        <v>0</v>
      </c>
      <c r="AJ61" s="82">
        <f>IF(Q61=0,0,IF(Q61&lt;4,'C&amp;B'!$E$316+(Q61*'C&amp;B'!$E$317),Q61*'C&amp;B'!$E$318))</f>
        <v>2475.2851991804864</v>
      </c>
      <c r="AK61" s="82">
        <f>IF(R61=0,0,IF(R61&lt;4,'C&amp;B'!$E$316+(R61*'C&amp;B'!$E$317),R61*'C&amp;B'!$E$318))</f>
        <v>0</v>
      </c>
      <c r="AL61" s="82">
        <f>IF(S61=0,0,IF(S61&lt;4,'C&amp;B'!$E$316+(S61*'C&amp;B'!$E$317),S61*'C&amp;B'!$E$318))</f>
        <v>0</v>
      </c>
      <c r="AM61" s="82">
        <f>IF(T61=0,0,IF(T61&lt;4,'C&amp;B'!$E$316+(T61*'C&amp;B'!$E$317),T61*'C&amp;B'!$E$318))</f>
        <v>0</v>
      </c>
      <c r="AO61" s="130" t="s">
        <v>612</v>
      </c>
      <c r="AP61" s="82">
        <f t="shared" si="27"/>
        <v>53211.150340522225</v>
      </c>
      <c r="AQ61" s="82" t="e">
        <f t="shared" si="26"/>
        <v>#VALUE!</v>
      </c>
      <c r="AR61" s="82">
        <f t="shared" si="26"/>
        <v>47070</v>
      </c>
      <c r="AS61" s="82" t="e">
        <f t="shared" si="26"/>
        <v>#VALUE!</v>
      </c>
      <c r="AT61" s="82">
        <f t="shared" si="26"/>
        <v>47284.6</v>
      </c>
      <c r="AU61" s="82" t="e">
        <f t="shared" si="26"/>
        <v>#VALUE!</v>
      </c>
      <c r="AV61" s="82">
        <f t="shared" si="26"/>
        <v>48800</v>
      </c>
      <c r="AW61" s="82">
        <f t="shared" si="26"/>
        <v>54133.066438604241</v>
      </c>
      <c r="AX61" s="82">
        <f t="shared" si="26"/>
        <v>49484.399999999994</v>
      </c>
      <c r="AY61" s="82">
        <f t="shared" si="26"/>
        <v>53692.784695619099</v>
      </c>
      <c r="AZ61" s="82">
        <f t="shared" si="26"/>
        <v>50769.599999999999</v>
      </c>
      <c r="BA61" s="82">
        <f t="shared" si="26"/>
        <v>52709.204312377464</v>
      </c>
      <c r="BB61" s="82">
        <f t="shared" si="26"/>
        <v>50301.599999999999</v>
      </c>
      <c r="BC61" s="82">
        <f t="shared" si="26"/>
        <v>53113.68519918048</v>
      </c>
      <c r="BD61" s="82">
        <f t="shared" si="26"/>
        <v>51122.399999999994</v>
      </c>
      <c r="BE61" s="82">
        <f t="shared" si="26"/>
        <v>49036.6</v>
      </c>
      <c r="BF61" s="82">
        <f t="shared" si="26"/>
        <v>47070</v>
      </c>
    </row>
    <row r="62" spans="2:58" s="4" customFormat="1">
      <c r="B62" s="130" t="s">
        <v>613</v>
      </c>
      <c r="C62" s="127">
        <f>SAP!D163</f>
        <v>6.4848175604206526</v>
      </c>
      <c r="D62" s="131" t="str">
        <f>IF(IF(D$39&lt;=$C62,D$26,(((D$39-$C62)/SAP!$C$10)*'C&amp;B'!$D$13/SAP!$C$143)+D$26)&lt;=SAP!$D$151,IF(D$39&lt;=$C62,D$26,(((D$39-$C62)/SAP!$C$10)*'C&amp;B'!$D$13/SAP!$C$143)+D$26),"Not Possible")</f>
        <v>Not Possible</v>
      </c>
      <c r="E62" s="131" t="str">
        <f>IF(IF(E$39&lt;=$C62,E$26,(((E$39-$C62)/SAP!$C$10)*'C&amp;B'!$D$13/SAP!$C$143)+E$26)&lt;=SAP!$D$151,IF(E$39&lt;=$C62,E$26,(((E$39-$C62)/SAP!$C$10)*'C&amp;B'!$D$13/SAP!$C$143)+E$26),"Not Possible")</f>
        <v>Not Possible</v>
      </c>
      <c r="F62" s="131">
        <f>IF(IF(F$39&lt;=$C62,F$26,(((F$39-$C62)/SAP!$C$10)*'C&amp;B'!$D$13/SAP!$C$143)+F$26)&lt;=SAP!$D$151,IF(F$39&lt;=$C62,F$26,(((F$39-$C62)/SAP!$C$10)*'C&amp;B'!$D$13/SAP!$C$143)+F$26),"Not Possible")</f>
        <v>0</v>
      </c>
      <c r="G62" s="131" t="str">
        <f>IF(IF(G$39&lt;=$C62,G$26,(((G$39-$C62)/SAP!$C$10)*'C&amp;B'!$D$13/SAP!$C$143)+G$26)&lt;=SAP!$D$151,IF(G$39&lt;=$C62,G$26,(((G$39-$C62)/SAP!$C$10)*'C&amp;B'!$D$13/SAP!$C$143)+G$26),"Not Possible")</f>
        <v>Not Possible</v>
      </c>
      <c r="H62" s="131">
        <f>IF(IF(H$39&lt;=$C62,H$26,(((H$39-$C62)/SAP!$C$10)*'C&amp;B'!$D$13/SAP!$C$143)+H$26)&lt;=SAP!$D$151,IF(H$39&lt;=$C62,H$26,(((H$39-$C62)/SAP!$C$10)*'C&amp;B'!$D$13/SAP!$C$143)+H$26),"Not Possible")</f>
        <v>0</v>
      </c>
      <c r="I62" s="131" t="str">
        <f>IF(IF(I$39&lt;=$C62,I$26,(((I$39-$C62)/SAP!$C$10)*'C&amp;B'!$D$13/SAP!$C$143)+I$26)&lt;=SAP!$D$151,IF(I$39&lt;=$C62,I$26,(((I$39-$C62)/SAP!$C$10)*'C&amp;B'!$D$13/SAP!$C$143)+I$26),"Not Possible")</f>
        <v>Not Possible</v>
      </c>
      <c r="J62" s="131">
        <f>IF(IF(J$39&lt;=$C62,J$26,(((J$39-$C62)/SAP!$C$10)*'C&amp;B'!$D$13/SAP!$C$143)+J$26)&lt;=SAP!$D$151,IF(J$39&lt;=$C62,J$26,(((J$39-$C62)/SAP!$C$10)*'C&amp;B'!$D$13/SAP!$C$143)+J$26),"Not Possible")</f>
        <v>0</v>
      </c>
      <c r="K62" s="131" t="str">
        <f>IF(IF(K$39&lt;=$C62,K$26,(((K$39-$C62)/SAP!$C$10)*'C&amp;B'!$D$13/SAP!$C$143)+K$26)&lt;=SAP!$D$151,IF(K$39&lt;=$C62,K$26,(((K$39-$C62)/SAP!$C$10)*'C&amp;B'!$D$13/SAP!$C$143)+K$26),"Not Possible")</f>
        <v>Not Possible</v>
      </c>
      <c r="L62" s="131">
        <f>IF(IF(L$39&lt;=$C62,L$26,(((L$39-$C62)/SAP!$C$10)*'C&amp;B'!$D$13/SAP!$C$143)+L$26)&lt;=SAP!$D$151,IF(L$39&lt;=$C62,L$26,(((L$39-$C62)/SAP!$C$10)*'C&amp;B'!$D$13/SAP!$C$143)+L$26),"Not Possible")</f>
        <v>0</v>
      </c>
      <c r="M62" s="131">
        <f>IF(IF(M$39&lt;=$C62,M$26,(((M$39-$C62)/SAP!$C$10)*'C&amp;B'!$D$13/SAP!$C$143)+M$26)&lt;=SAP!$D$151,IF(M$39&lt;=$C62,M$26,(((M$39-$C62)/SAP!$C$10)*'C&amp;B'!$D$13/SAP!$C$143)+M$26),"Not Possible")</f>
        <v>4.5851542946895725</v>
      </c>
      <c r="N62" s="131">
        <f>IF(IF(N$39&lt;=$C62,N$26,(((N$39-$C62)/SAP!$C$10)*'C&amp;B'!$D$13/SAP!$C$143)+N$26)&lt;=SAP!$D$151,IF(N$39&lt;=$C62,N$26,(((N$39-$C62)/SAP!$C$10)*'C&amp;B'!$D$13/SAP!$C$143)+N$26),"Not Possible")</f>
        <v>0</v>
      </c>
      <c r="O62" s="131">
        <f>IF(IF(O$39&lt;=$C62,O$26,(((O$39-$C62)/SAP!$C$10)*'C&amp;B'!$D$13/SAP!$C$143)+O$26)&lt;=SAP!$D$151,IF(O$39&lt;=$C62,O$26,(((O$39-$C62)/SAP!$C$10)*'C&amp;B'!$D$13/SAP!$C$143)+O$26),"Not Possible")</f>
        <v>3.7258536559535202</v>
      </c>
      <c r="P62" s="131">
        <f>IF(IF(P$39&lt;=$C62,P$26,(((P$39-$C62)/SAP!$C$10)*'C&amp;B'!$D$13/SAP!$C$143)+P$26)&lt;=SAP!$D$151,IF(P$39&lt;=$C62,P$26,(((P$39-$C62)/SAP!$C$10)*'C&amp;B'!$D$13/SAP!$C$143)+P$26),"Not Possible")</f>
        <v>0</v>
      </c>
      <c r="Q62" s="131">
        <f>IF(IF(Q$39&lt;=$C62,Q$26,(((Q$39-$C62)/SAP!$C$10)*'C&amp;B'!$D$13/SAP!$C$143)+Q$26)&lt;=SAP!$D$151,IF(Q$39&lt;=$C62,Q$26,(((Q$39-$C62)/SAP!$C$10)*'C&amp;B'!$D$13/SAP!$C$143)+Q$26),"Not Possible")</f>
        <v>3.0319884672918849</v>
      </c>
      <c r="R62" s="131">
        <f>IF(IF(R$39&lt;=$C62,R$26,(((R$39-$C62)/SAP!$C$10)*'C&amp;B'!$D$13/SAP!$C$143)+R$26)&lt;=SAP!$D$151,IF(R$39&lt;=$C62,R$26,(((R$39-$C62)/SAP!$C$10)*'C&amp;B'!$D$13/SAP!$C$143)+R$26),"Not Possible")</f>
        <v>0</v>
      </c>
      <c r="S62" s="131">
        <f>IF(IF(S$39&lt;=$C62,S$26,(((S$39-$C62)/SAP!$C$10)*'C&amp;B'!$D$13/SAP!$C$143)+S$26)&lt;=SAP!$D$151,IF(S$39&lt;=$C62,S$26,(((S$39-$C62)/SAP!$C$10)*'C&amp;B'!$D$13/SAP!$C$143)+S$26),"Not Possible")</f>
        <v>0</v>
      </c>
      <c r="T62" s="131">
        <f>IF(IF(T$39&lt;=$C62,T$26,(((T$39-$C62)/SAP!$C$10)*'C&amp;B'!$D$13/SAP!$C$143)+T$26)&lt;=SAP!$D$151,IF(T$39&lt;=$C62,T$26,(((T$39-$C62)/SAP!$C$10)*'C&amp;B'!$D$13/SAP!$C$143)+T$26),"Not Possible")</f>
        <v>0</v>
      </c>
      <c r="V62" s="130" t="s">
        <v>613</v>
      </c>
      <c r="W62" s="82" t="e">
        <f>IF(D62=0,0,IF(D62&lt;4,'C&amp;B'!$E$316+(D62*'C&amp;B'!$E$317),D62*'C&amp;B'!$E$318))</f>
        <v>#VALUE!</v>
      </c>
      <c r="X62" s="82" t="e">
        <f>IF(E62=0,0,IF(E62&lt;4,'C&amp;B'!$E$316+(E62*'C&amp;B'!$E$317),E62*'C&amp;B'!$E$318))</f>
        <v>#VALUE!</v>
      </c>
      <c r="Y62" s="82">
        <f>IF(F62=0,0,IF(F62&lt;4,'C&amp;B'!$E$316+(F62*'C&amp;B'!$E$317),F62*'C&amp;B'!$E$318))</f>
        <v>0</v>
      </c>
      <c r="Z62" s="82" t="e">
        <f>IF(G62=0,0,IF(G62&lt;4,'C&amp;B'!$E$316+(G62*'C&amp;B'!$E$317),G62*'C&amp;B'!$E$318))</f>
        <v>#VALUE!</v>
      </c>
      <c r="AA62" s="82">
        <f>IF(H62=0,0,IF(H62&lt;4,'C&amp;B'!$E$316+(H62*'C&amp;B'!$E$317),H62*'C&amp;B'!$E$318))</f>
        <v>0</v>
      </c>
      <c r="AB62" s="82" t="e">
        <f>IF(I62=0,0,IF(I62&lt;4,'C&amp;B'!$E$316+(I62*'C&amp;B'!$E$317),I62*'C&amp;B'!$E$318))</f>
        <v>#VALUE!</v>
      </c>
      <c r="AC62" s="82">
        <f>IF(J62=0,0,IF(J62&lt;4,'C&amp;B'!$E$316+(J62*'C&amp;B'!$E$317),J62*'C&amp;B'!$E$318))</f>
        <v>0</v>
      </c>
      <c r="AD62" s="82" t="e">
        <f>IF(K62=0,0,IF(K62&lt;4,'C&amp;B'!$E$316+(K62*'C&amp;B'!$E$317),K62*'C&amp;B'!$E$318))</f>
        <v>#VALUE!</v>
      </c>
      <c r="AE62" s="82">
        <f>IF(L62=0,0,IF(L62&lt;4,'C&amp;B'!$E$316+(L62*'C&amp;B'!$E$317),L62*'C&amp;B'!$E$318))</f>
        <v>0</v>
      </c>
      <c r="AF62" s="82">
        <f>IF(M62=0,0,IF(M62&lt;4,'C&amp;B'!$E$316+(M62*'C&amp;B'!$E$317),M62*'C&amp;B'!$E$318))</f>
        <v>5043.6697241585298</v>
      </c>
      <c r="AG62" s="82">
        <f>IF(N62=0,0,IF(N62&lt;4,'C&amp;B'!$E$316+(N62*'C&amp;B'!$E$317),N62*'C&amp;B'!$E$318))</f>
        <v>0</v>
      </c>
      <c r="AH62" s="82">
        <f>IF(O62=0,0,IF(O62&lt;4,'C&amp;B'!$E$316+(O62*'C&amp;B'!$E$317),O62*'C&amp;B'!$E$318))</f>
        <v>3335.5121935721122</v>
      </c>
      <c r="AI62" s="82">
        <f>IF(P62=0,0,IF(P62&lt;4,'C&amp;B'!$E$316+(P62*'C&amp;B'!$E$317),P62*'C&amp;B'!$E$318))</f>
        <v>0</v>
      </c>
      <c r="AJ62" s="82">
        <f>IF(Q62=0,0,IF(Q62&lt;4,'C&amp;B'!$E$316+(Q62*'C&amp;B'!$E$317),Q62*'C&amp;B'!$E$318))</f>
        <v>2919.1930803751311</v>
      </c>
      <c r="AK62" s="82">
        <f>IF(R62=0,0,IF(R62&lt;4,'C&amp;B'!$E$316+(R62*'C&amp;B'!$E$317),R62*'C&amp;B'!$E$318))</f>
        <v>0</v>
      </c>
      <c r="AL62" s="82">
        <f>IF(S62=0,0,IF(S62&lt;4,'C&amp;B'!$E$316+(S62*'C&amp;B'!$E$317),S62*'C&amp;B'!$E$318))</f>
        <v>0</v>
      </c>
      <c r="AM62" s="82">
        <f>IF(T62=0,0,IF(T62&lt;4,'C&amp;B'!$E$316+(T62*'C&amp;B'!$E$317),T62*'C&amp;B'!$E$318))</f>
        <v>0</v>
      </c>
      <c r="AO62" s="130" t="s">
        <v>613</v>
      </c>
      <c r="AP62" s="82" t="e">
        <f t="shared" si="27"/>
        <v>#VALUE!</v>
      </c>
      <c r="AQ62" s="82" t="e">
        <f t="shared" si="26"/>
        <v>#VALUE!</v>
      </c>
      <c r="AR62" s="82">
        <f t="shared" si="26"/>
        <v>47070</v>
      </c>
      <c r="AS62" s="82" t="e">
        <f t="shared" si="26"/>
        <v>#VALUE!</v>
      </c>
      <c r="AT62" s="82">
        <f t="shared" si="26"/>
        <v>47284.6</v>
      </c>
      <c r="AU62" s="82" t="e">
        <f t="shared" si="26"/>
        <v>#VALUE!</v>
      </c>
      <c r="AV62" s="82">
        <f t="shared" si="26"/>
        <v>48800</v>
      </c>
      <c r="AW62" s="82" t="e">
        <f t="shared" si="26"/>
        <v>#VALUE!</v>
      </c>
      <c r="AX62" s="82">
        <f t="shared" si="26"/>
        <v>49484.399999999994</v>
      </c>
      <c r="AY62" s="82">
        <f t="shared" si="26"/>
        <v>55329.269724158527</v>
      </c>
      <c r="AZ62" s="82">
        <f t="shared" si="26"/>
        <v>50769.599999999999</v>
      </c>
      <c r="BA62" s="82">
        <f t="shared" si="26"/>
        <v>53153.112193572109</v>
      </c>
      <c r="BB62" s="82">
        <f t="shared" si="26"/>
        <v>50301.599999999999</v>
      </c>
      <c r="BC62" s="82">
        <f t="shared" si="26"/>
        <v>53557.593080375125</v>
      </c>
      <c r="BD62" s="82">
        <f t="shared" si="26"/>
        <v>51122.399999999994</v>
      </c>
      <c r="BE62" s="82">
        <f t="shared" si="26"/>
        <v>49036.6</v>
      </c>
      <c r="BF62" s="82">
        <f t="shared" si="26"/>
        <v>47070</v>
      </c>
    </row>
    <row r="63" spans="2:58" s="4" customFormat="1">
      <c r="B63" s="130" t="s">
        <v>614</v>
      </c>
      <c r="C63" s="127">
        <f>SAP!D164</f>
        <v>5.404014633683877</v>
      </c>
      <c r="D63" s="131" t="str">
        <f>IF(IF(D$39&lt;=$C63,D$26,(((D$39-$C63)/SAP!$C$10)*'C&amp;B'!$D$13/SAP!$C$143)+D$26)&lt;=SAP!$D$151,IF(D$39&lt;=$C63,D$26,(((D$39-$C63)/SAP!$C$10)*'C&amp;B'!$D$13/SAP!$C$143)+D$26),"Not Possible")</f>
        <v>Not Possible</v>
      </c>
      <c r="E63" s="131" t="str">
        <f>IF(IF(E$39&lt;=$C63,E$26,(((E$39-$C63)/SAP!$C$10)*'C&amp;B'!$D$13/SAP!$C$143)+E$26)&lt;=SAP!$D$151,IF(E$39&lt;=$C63,E$26,(((E$39-$C63)/SAP!$C$10)*'C&amp;B'!$D$13/SAP!$C$143)+E$26),"Not Possible")</f>
        <v>Not Possible</v>
      </c>
      <c r="F63" s="131">
        <f>IF(IF(F$39&lt;=$C63,F$26,(((F$39-$C63)/SAP!$C$10)*'C&amp;B'!$D$13/SAP!$C$143)+F$26)&lt;=SAP!$D$151,IF(F$39&lt;=$C63,F$26,(((F$39-$C63)/SAP!$C$10)*'C&amp;B'!$D$13/SAP!$C$143)+F$26),"Not Possible")</f>
        <v>0</v>
      </c>
      <c r="G63" s="131" t="str">
        <f>IF(IF(G$39&lt;=$C63,G$26,(((G$39-$C63)/SAP!$C$10)*'C&amp;B'!$D$13/SAP!$C$143)+G$26)&lt;=SAP!$D$151,IF(G$39&lt;=$C63,G$26,(((G$39-$C63)/SAP!$C$10)*'C&amp;B'!$D$13/SAP!$C$143)+G$26),"Not Possible")</f>
        <v>Not Possible</v>
      </c>
      <c r="H63" s="131">
        <f>IF(IF(H$39&lt;=$C63,H$26,(((H$39-$C63)/SAP!$C$10)*'C&amp;B'!$D$13/SAP!$C$143)+H$26)&lt;=SAP!$D$151,IF(H$39&lt;=$C63,H$26,(((H$39-$C63)/SAP!$C$10)*'C&amp;B'!$D$13/SAP!$C$143)+H$26),"Not Possible")</f>
        <v>0</v>
      </c>
      <c r="I63" s="131" t="str">
        <f>IF(IF(I$39&lt;=$C63,I$26,(((I$39-$C63)/SAP!$C$10)*'C&amp;B'!$D$13/SAP!$C$143)+I$26)&lt;=SAP!$D$151,IF(I$39&lt;=$C63,I$26,(((I$39-$C63)/SAP!$C$10)*'C&amp;B'!$D$13/SAP!$C$143)+I$26),"Not Possible")</f>
        <v>Not Possible</v>
      </c>
      <c r="J63" s="131">
        <f>IF(IF(J$39&lt;=$C63,J$26,(((J$39-$C63)/SAP!$C$10)*'C&amp;B'!$D$13/SAP!$C$143)+J$26)&lt;=SAP!$D$151,IF(J$39&lt;=$C63,J$26,(((J$39-$C63)/SAP!$C$10)*'C&amp;B'!$D$13/SAP!$C$143)+J$26),"Not Possible")</f>
        <v>0</v>
      </c>
      <c r="K63" s="131" t="str">
        <f>IF(IF(K$39&lt;=$C63,K$26,(((K$39-$C63)/SAP!$C$10)*'C&amp;B'!$D$13/SAP!$C$143)+K$26)&lt;=SAP!$D$151,IF(K$39&lt;=$C63,K$26,(((K$39-$C63)/SAP!$C$10)*'C&amp;B'!$D$13/SAP!$C$143)+K$26),"Not Possible")</f>
        <v>Not Possible</v>
      </c>
      <c r="L63" s="131">
        <f>IF(IF(L$39&lt;=$C63,L$26,(((L$39-$C63)/SAP!$C$10)*'C&amp;B'!$D$13/SAP!$C$143)+L$26)&lt;=SAP!$D$151,IF(L$39&lt;=$C63,L$26,(((L$39-$C63)/SAP!$C$10)*'C&amp;B'!$D$13/SAP!$C$143)+L$26),"Not Possible")</f>
        <v>0</v>
      </c>
      <c r="M63" s="131" t="str">
        <f>IF(IF(M$39&lt;=$C63,M$26,(((M$39-$C63)/SAP!$C$10)*'C&amp;B'!$D$13/SAP!$C$143)+M$26)&lt;=SAP!$D$151,IF(M$39&lt;=$C63,M$26,(((M$39-$C63)/SAP!$C$10)*'C&amp;B'!$D$13/SAP!$C$143)+M$26),"Not Possible")</f>
        <v>Not Possible</v>
      </c>
      <c r="N63" s="131">
        <f>IF(IF(N$39&lt;=$C63,N$26,(((N$39-$C63)/SAP!$C$10)*'C&amp;B'!$D$13/SAP!$C$143)+N$26)&lt;=SAP!$D$151,IF(N$39&lt;=$C63,N$26,(((N$39-$C63)/SAP!$C$10)*'C&amp;B'!$D$13/SAP!$C$143)+N$26),"Not Possible")</f>
        <v>0</v>
      </c>
      <c r="O63" s="131">
        <f>IF(IF(O$39&lt;=$C63,O$26,(((O$39-$C63)/SAP!$C$10)*'C&amp;B'!$D$13/SAP!$C$143)+O$26)&lt;=SAP!$D$151,IF(O$39&lt;=$C63,O$26,(((O$39-$C63)/SAP!$C$10)*'C&amp;B'!$D$13/SAP!$C$143)+O$26),"Not Possible")</f>
        <v>4.4657001246112618</v>
      </c>
      <c r="P63" s="131">
        <f>IF(IF(P$39&lt;=$C63,P$26,(((P$39-$C63)/SAP!$C$10)*'C&amp;B'!$D$13/SAP!$C$143)+P$26)&lt;=SAP!$D$151,IF(P$39&lt;=$C63,P$26,(((P$39-$C63)/SAP!$C$10)*'C&amp;B'!$D$13/SAP!$C$143)+P$26),"Not Possible")</f>
        <v>0</v>
      </c>
      <c r="Q63" s="131">
        <f>IF(IF(Q$39&lt;=$C63,Q$26,(((Q$39-$C63)/SAP!$C$10)*'C&amp;B'!$D$13/SAP!$C$143)+Q$26)&lt;=SAP!$D$151,IF(Q$39&lt;=$C63,Q$26,(((Q$39-$C63)/SAP!$C$10)*'C&amp;B'!$D$13/SAP!$C$143)+Q$26),"Not Possible")</f>
        <v>3.7718349359496268</v>
      </c>
      <c r="R63" s="131">
        <f>IF(IF(R$39&lt;=$C63,R$26,(((R$39-$C63)/SAP!$C$10)*'C&amp;B'!$D$13/SAP!$C$143)+R$26)&lt;=SAP!$D$151,IF(R$39&lt;=$C63,R$26,(((R$39-$C63)/SAP!$C$10)*'C&amp;B'!$D$13/SAP!$C$143)+R$26),"Not Possible")</f>
        <v>0</v>
      </c>
      <c r="S63" s="131">
        <f>IF(IF(S$39&lt;=$C63,S$26,(((S$39-$C63)/SAP!$C$10)*'C&amp;B'!$D$13/SAP!$C$143)+S$26)&lt;=SAP!$D$151,IF(S$39&lt;=$C63,S$26,(((S$39-$C63)/SAP!$C$10)*'C&amp;B'!$D$13/SAP!$C$143)+S$26),"Not Possible")</f>
        <v>0</v>
      </c>
      <c r="T63" s="131">
        <f>IF(IF(T$39&lt;=$C63,T$26,(((T$39-$C63)/SAP!$C$10)*'C&amp;B'!$D$13/SAP!$C$143)+T$26)&lt;=SAP!$D$151,IF(T$39&lt;=$C63,T$26,(((T$39-$C63)/SAP!$C$10)*'C&amp;B'!$D$13/SAP!$C$143)+T$26),"Not Possible")</f>
        <v>0</v>
      </c>
      <c r="V63" s="130" t="s">
        <v>614</v>
      </c>
      <c r="W63" s="82" t="e">
        <f>IF(D63=0,0,IF(D63&lt;4,'C&amp;B'!$E$316+(D63*'C&amp;B'!$E$317),D63*'C&amp;B'!$E$318))</f>
        <v>#VALUE!</v>
      </c>
      <c r="X63" s="82" t="e">
        <f>IF(E63=0,0,IF(E63&lt;4,'C&amp;B'!$E$316+(E63*'C&amp;B'!$E$317),E63*'C&amp;B'!$E$318))</f>
        <v>#VALUE!</v>
      </c>
      <c r="Y63" s="82">
        <f>IF(F63=0,0,IF(F63&lt;4,'C&amp;B'!$E$316+(F63*'C&amp;B'!$E$317),F63*'C&amp;B'!$E$318))</f>
        <v>0</v>
      </c>
      <c r="Z63" s="82" t="e">
        <f>IF(G63=0,0,IF(G63&lt;4,'C&amp;B'!$E$316+(G63*'C&amp;B'!$E$317),G63*'C&amp;B'!$E$318))</f>
        <v>#VALUE!</v>
      </c>
      <c r="AA63" s="82">
        <f>IF(H63=0,0,IF(H63&lt;4,'C&amp;B'!$E$316+(H63*'C&amp;B'!$E$317),H63*'C&amp;B'!$E$318))</f>
        <v>0</v>
      </c>
      <c r="AB63" s="82" t="e">
        <f>IF(I63=0,0,IF(I63&lt;4,'C&amp;B'!$E$316+(I63*'C&amp;B'!$E$317),I63*'C&amp;B'!$E$318))</f>
        <v>#VALUE!</v>
      </c>
      <c r="AC63" s="82">
        <f>IF(J63=0,0,IF(J63&lt;4,'C&amp;B'!$E$316+(J63*'C&amp;B'!$E$317),J63*'C&amp;B'!$E$318))</f>
        <v>0</v>
      </c>
      <c r="AD63" s="82" t="e">
        <f>IF(K63=0,0,IF(K63&lt;4,'C&amp;B'!$E$316+(K63*'C&amp;B'!$E$317),K63*'C&amp;B'!$E$318))</f>
        <v>#VALUE!</v>
      </c>
      <c r="AE63" s="82">
        <f>IF(L63=0,0,IF(L63&lt;4,'C&amp;B'!$E$316+(L63*'C&amp;B'!$E$317),L63*'C&amp;B'!$E$318))</f>
        <v>0</v>
      </c>
      <c r="AF63" s="82" t="e">
        <f>IF(M63=0,0,IF(M63&lt;4,'C&amp;B'!$E$316+(M63*'C&amp;B'!$E$317),M63*'C&amp;B'!$E$318))</f>
        <v>#VALUE!</v>
      </c>
      <c r="AG63" s="82">
        <f>IF(N63=0,0,IF(N63&lt;4,'C&amp;B'!$E$316+(N63*'C&amp;B'!$E$317),N63*'C&amp;B'!$E$318))</f>
        <v>0</v>
      </c>
      <c r="AH63" s="82">
        <f>IF(O63=0,0,IF(O63&lt;4,'C&amp;B'!$E$316+(O63*'C&amp;B'!$E$317),O63*'C&amp;B'!$E$318))</f>
        <v>4912.270137072388</v>
      </c>
      <c r="AI63" s="82">
        <f>IF(P63=0,0,IF(P63&lt;4,'C&amp;B'!$E$316+(P63*'C&amp;B'!$E$317),P63*'C&amp;B'!$E$318))</f>
        <v>0</v>
      </c>
      <c r="AJ63" s="82">
        <f>IF(Q63=0,0,IF(Q63&lt;4,'C&amp;B'!$E$316+(Q63*'C&amp;B'!$E$317),Q63*'C&amp;B'!$E$318))</f>
        <v>3363.1009615697762</v>
      </c>
      <c r="AK63" s="82">
        <f>IF(R63=0,0,IF(R63&lt;4,'C&amp;B'!$E$316+(R63*'C&amp;B'!$E$317),R63*'C&amp;B'!$E$318))</f>
        <v>0</v>
      </c>
      <c r="AL63" s="82">
        <f>IF(S63=0,0,IF(S63&lt;4,'C&amp;B'!$E$316+(S63*'C&amp;B'!$E$317),S63*'C&amp;B'!$E$318))</f>
        <v>0</v>
      </c>
      <c r="AM63" s="82">
        <f>IF(T63=0,0,IF(T63&lt;4,'C&amp;B'!$E$316+(T63*'C&amp;B'!$E$317),T63*'C&amp;B'!$E$318))</f>
        <v>0</v>
      </c>
      <c r="AO63" s="130" t="s">
        <v>614</v>
      </c>
      <c r="AP63" s="82" t="e">
        <f t="shared" si="27"/>
        <v>#VALUE!</v>
      </c>
      <c r="AQ63" s="82" t="e">
        <f t="shared" si="26"/>
        <v>#VALUE!</v>
      </c>
      <c r="AR63" s="82">
        <f t="shared" si="26"/>
        <v>47070</v>
      </c>
      <c r="AS63" s="82" t="e">
        <f t="shared" si="26"/>
        <v>#VALUE!</v>
      </c>
      <c r="AT63" s="82">
        <f t="shared" si="26"/>
        <v>47284.6</v>
      </c>
      <c r="AU63" s="82" t="e">
        <f t="shared" si="26"/>
        <v>#VALUE!</v>
      </c>
      <c r="AV63" s="82">
        <f t="shared" si="26"/>
        <v>48800</v>
      </c>
      <c r="AW63" s="82" t="e">
        <f t="shared" si="26"/>
        <v>#VALUE!</v>
      </c>
      <c r="AX63" s="82">
        <f t="shared" si="26"/>
        <v>49484.399999999994</v>
      </c>
      <c r="AY63" s="82" t="e">
        <f t="shared" si="26"/>
        <v>#VALUE!</v>
      </c>
      <c r="AZ63" s="82">
        <f t="shared" si="26"/>
        <v>50769.599999999999</v>
      </c>
      <c r="BA63" s="82">
        <f t="shared" si="26"/>
        <v>54729.870137072387</v>
      </c>
      <c r="BB63" s="82">
        <f t="shared" si="26"/>
        <v>50301.599999999999</v>
      </c>
      <c r="BC63" s="82">
        <f t="shared" si="26"/>
        <v>54001.500961569771</v>
      </c>
      <c r="BD63" s="82">
        <f t="shared" si="26"/>
        <v>51122.399999999994</v>
      </c>
      <c r="BE63" s="82">
        <f t="shared" si="26"/>
        <v>49036.6</v>
      </c>
      <c r="BF63" s="82">
        <f t="shared" si="26"/>
        <v>47070</v>
      </c>
    </row>
    <row r="64" spans="2:58" s="4" customFormat="1">
      <c r="B64" s="130" t="s">
        <v>615</v>
      </c>
      <c r="C64" s="127">
        <f>SAP!D165</f>
        <v>0</v>
      </c>
      <c r="D64" s="131" t="str">
        <f>IF(IF(D$39&lt;=$C64,D$26,(((D$39-$C64)/SAP!$C$10)*'C&amp;B'!$D$13/SAP!$C$143)+D$26)&lt;=SAP!$D$151,IF(D$39&lt;=$C64,D$26,(((D$39-$C64)/SAP!$C$10)*'C&amp;B'!$D$13/SAP!$C$143)+D$26),"Not Possible")</f>
        <v>Not Possible</v>
      </c>
      <c r="E64" s="131" t="str">
        <f>IF(IF(E$39&lt;=$C64,E$26,(((E$39-$C64)/SAP!$C$10)*'C&amp;B'!$D$13/SAP!$C$143)+E$26)&lt;=SAP!$D$151,IF(E$39&lt;=$C64,E$26,(((E$39-$C64)/SAP!$C$10)*'C&amp;B'!$D$13/SAP!$C$143)+E$26),"Not Possible")</f>
        <v>Not Possible</v>
      </c>
      <c r="F64" s="131">
        <f>IF(IF(F$39&lt;=$C64,F$26,(((F$39-$C64)/SAP!$C$10)*'C&amp;B'!$D$13/SAP!$C$143)+F$26)&lt;=SAP!$D$151,IF(F$39&lt;=$C64,F$26,(((F$39-$C64)/SAP!$C$10)*'C&amp;B'!$D$13/SAP!$C$143)+F$26),"Not Possible")</f>
        <v>2.7245292559185978</v>
      </c>
      <c r="G64" s="131" t="str">
        <f>IF(IF(G$39&lt;=$C64,G$26,(((G$39-$C64)/SAP!$C$10)*'C&amp;B'!$D$13/SAP!$C$143)+G$26)&lt;=SAP!$D$151,IF(G$39&lt;=$C64,G$26,(((G$39-$C64)/SAP!$C$10)*'C&amp;B'!$D$13/SAP!$C$143)+G$26),"Not Possible")</f>
        <v>Not Possible</v>
      </c>
      <c r="H64" s="131">
        <f>IF(IF(H$39&lt;=$C64,H$26,(((H$39-$C64)/SAP!$C$10)*'C&amp;B'!$D$13/SAP!$C$143)+H$26)&lt;=SAP!$D$151,IF(H$39&lt;=$C64,H$26,(((H$39-$C64)/SAP!$C$10)*'C&amp;B'!$D$13/SAP!$C$143)+H$26),"Not Possible")</f>
        <v>2.7387396236511217</v>
      </c>
      <c r="I64" s="131" t="str">
        <f>IF(IF(I$39&lt;=$C64,I$26,(((I$39-$C64)/SAP!$C$10)*'C&amp;B'!$D$13/SAP!$C$143)+I$26)&lt;=SAP!$D$151,IF(I$39&lt;=$C64,I$26,(((I$39-$C64)/SAP!$C$10)*'C&amp;B'!$D$13/SAP!$C$143)+I$26),"Not Possible")</f>
        <v>Not Possible</v>
      </c>
      <c r="J64" s="131">
        <f>IF(IF(J$39&lt;=$C64,J$26,(((J$39-$C64)/SAP!$C$10)*'C&amp;B'!$D$13/SAP!$C$143)+J$26)&lt;=SAP!$D$151,IF(J$39&lt;=$C64,J$26,(((J$39-$C64)/SAP!$C$10)*'C&amp;B'!$D$13/SAP!$C$143)+J$26),"Not Possible")</f>
        <v>3.2026288531441813</v>
      </c>
      <c r="K64" s="131" t="str">
        <f>IF(IF(K$39&lt;=$C64,K$26,(((K$39-$C64)/SAP!$C$10)*'C&amp;B'!$D$13/SAP!$C$143)+K$26)&lt;=SAP!$D$151,IF(K$39&lt;=$C64,K$26,(((K$39-$C64)/SAP!$C$10)*'C&amp;B'!$D$13/SAP!$C$143)+K$26),"Not Possible")</f>
        <v>Not Possible</v>
      </c>
      <c r="L64" s="131">
        <f>IF(IF(L$39&lt;=$C64,L$26,(((L$39-$C64)/SAP!$C$10)*'C&amp;B'!$D$13/SAP!$C$143)+L$26)&lt;=SAP!$D$151,IF(L$39&lt;=$C64,L$26,(((L$39-$C64)/SAP!$C$10)*'C&amp;B'!$D$13/SAP!$C$143)+L$26),"Not Possible")</f>
        <v>3.0235258326871972</v>
      </c>
      <c r="M64" s="131" t="str">
        <f>IF(IF(M$39&lt;=$C64,M$26,(((M$39-$C64)/SAP!$C$10)*'C&amp;B'!$D$13/SAP!$C$143)+M$26)&lt;=SAP!$D$151,IF(M$39&lt;=$C64,M$26,(((M$39-$C64)/SAP!$C$10)*'C&amp;B'!$D$13/SAP!$C$143)+M$26),"Not Possible")</f>
        <v>Not Possible</v>
      </c>
      <c r="N64" s="131">
        <f>IF(IF(N$39&lt;=$C64,N$26,(((N$39-$C64)/SAP!$C$10)*'C&amp;B'!$D$13/SAP!$C$143)+N$26)&lt;=SAP!$D$151,IF(N$39&lt;=$C64,N$26,(((N$39-$C64)/SAP!$C$10)*'C&amp;B'!$D$13/SAP!$C$143)+N$26),"Not Possible")</f>
        <v>2.8836070607698883</v>
      </c>
      <c r="O64" s="131" t="str">
        <f>IF(IF(O$39&lt;=$C64,O$26,(((O$39-$C64)/SAP!$C$10)*'C&amp;B'!$D$13/SAP!$C$143)+O$26)&lt;=SAP!$D$151,IF(O$39&lt;=$C64,O$26,(((O$39-$C64)/SAP!$C$10)*'C&amp;B'!$D$13/SAP!$C$143)+O$26),"Not Possible")</f>
        <v>Not Possible</v>
      </c>
      <c r="P64" s="131">
        <f>IF(IF(P$39&lt;=$C64,P$26,(((P$39-$C64)/SAP!$C$10)*'C&amp;B'!$D$13/SAP!$C$143)+P$26)&lt;=SAP!$D$151,IF(P$39&lt;=$C64,P$26,(((P$39-$C64)/SAP!$C$10)*'C&amp;B'!$D$13/SAP!$C$143)+P$26),"Not Possible")</f>
        <v>2.7371167614044092</v>
      </c>
      <c r="Q64" s="131" t="str">
        <f>IF(IF(Q$39&lt;=$C64,Q$26,(((Q$39-$C64)/SAP!$C$10)*'C&amp;B'!$D$13/SAP!$C$143)+Q$26)&lt;=SAP!$D$151,IF(Q$39&lt;=$C64,Q$26,(((Q$39-$C64)/SAP!$C$10)*'C&amp;B'!$D$13/SAP!$C$143)+Q$26),"Not Possible")</f>
        <v>Not Possible</v>
      </c>
      <c r="R64" s="131">
        <f>IF(IF(R$39&lt;=$C64,R$26,(((R$39-$C64)/SAP!$C$10)*'C&amp;B'!$D$13/SAP!$C$143)+R$26)&lt;=SAP!$D$151,IF(R$39&lt;=$C64,R$26,(((R$39-$C64)/SAP!$C$10)*'C&amp;B'!$D$13/SAP!$C$143)+R$26),"Not Possible")</f>
        <v>2.6188292673373303</v>
      </c>
      <c r="S64" s="131">
        <f>IF(IF(S$39&lt;=$C64,S$26,(((S$39-$C64)/SAP!$C$10)*'C&amp;B'!$D$13/SAP!$C$143)+S$26)&lt;=SAP!$D$151,IF(S$39&lt;=$C64,S$26,(((S$39-$C64)/SAP!$C$10)*'C&amp;B'!$D$13/SAP!$C$143)+S$26),"Not Possible")</f>
        <v>2.7271889103444793</v>
      </c>
      <c r="T64" s="131">
        <f>IF(IF(T$39&lt;=$C64,T$26,(((T$39-$C64)/SAP!$C$10)*'C&amp;B'!$D$13/SAP!$C$143)+T$26)&lt;=SAP!$D$151,IF(T$39&lt;=$C64,T$26,(((T$39-$C64)/SAP!$C$10)*'C&amp;B'!$D$13/SAP!$C$143)+T$26),"Not Possible")</f>
        <v>2.7361033638391499</v>
      </c>
      <c r="V64" s="130" t="s">
        <v>615</v>
      </c>
      <c r="W64" s="82" t="e">
        <f>IF(D64=0,0,IF(D64&lt;4,'C&amp;B'!$E$316+(D64*'C&amp;B'!$E$317),D64*'C&amp;B'!$E$318))</f>
        <v>#VALUE!</v>
      </c>
      <c r="X64" s="82" t="e">
        <f>IF(E64=0,0,IF(E64&lt;4,'C&amp;B'!$E$316+(E64*'C&amp;B'!$E$317),E64*'C&amp;B'!$E$318))</f>
        <v>#VALUE!</v>
      </c>
      <c r="Y64" s="82">
        <f>IF(F64=0,0,IF(F64&lt;4,'C&amp;B'!$E$316+(F64*'C&amp;B'!$E$317),F64*'C&amp;B'!$E$318))</f>
        <v>2734.7175535511587</v>
      </c>
      <c r="Z64" s="82" t="e">
        <f>IF(G64=0,0,IF(G64&lt;4,'C&amp;B'!$E$316+(G64*'C&amp;B'!$E$317),G64*'C&amp;B'!$E$318))</f>
        <v>#VALUE!</v>
      </c>
      <c r="AA64" s="82">
        <f>IF(H64=0,0,IF(H64&lt;4,'C&amp;B'!$E$316+(H64*'C&amp;B'!$E$317),H64*'C&amp;B'!$E$318))</f>
        <v>2743.2437741906733</v>
      </c>
      <c r="AB64" s="82" t="e">
        <f>IF(I64=0,0,IF(I64&lt;4,'C&amp;B'!$E$316+(I64*'C&amp;B'!$E$317),I64*'C&amp;B'!$E$318))</f>
        <v>#VALUE!</v>
      </c>
      <c r="AC64" s="82">
        <f>IF(J64=0,0,IF(J64&lt;4,'C&amp;B'!$E$316+(J64*'C&amp;B'!$E$317),J64*'C&amp;B'!$E$318))</f>
        <v>3021.5773118865091</v>
      </c>
      <c r="AD64" s="82" t="e">
        <f>IF(K64=0,0,IF(K64&lt;4,'C&amp;B'!$E$316+(K64*'C&amp;B'!$E$317),K64*'C&amp;B'!$E$318))</f>
        <v>#VALUE!</v>
      </c>
      <c r="AE64" s="82">
        <f>IF(L64=0,0,IF(L64&lt;4,'C&amp;B'!$E$316+(L64*'C&amp;B'!$E$317),L64*'C&amp;B'!$E$318))</f>
        <v>2914.1154996123182</v>
      </c>
      <c r="AF64" s="82" t="e">
        <f>IF(M64=0,0,IF(M64&lt;4,'C&amp;B'!$E$316+(M64*'C&amp;B'!$E$317),M64*'C&amp;B'!$E$318))</f>
        <v>#VALUE!</v>
      </c>
      <c r="AG64" s="82">
        <f>IF(N64=0,0,IF(N64&lt;4,'C&amp;B'!$E$316+(N64*'C&amp;B'!$E$317),N64*'C&amp;B'!$E$318))</f>
        <v>2830.1642364619329</v>
      </c>
      <c r="AH64" s="82" t="e">
        <f>IF(O64=0,0,IF(O64&lt;4,'C&amp;B'!$E$316+(O64*'C&amp;B'!$E$317),O64*'C&amp;B'!$E$318))</f>
        <v>#VALUE!</v>
      </c>
      <c r="AI64" s="82">
        <f>IF(P64=0,0,IF(P64&lt;4,'C&amp;B'!$E$316+(P64*'C&amp;B'!$E$317),P64*'C&amp;B'!$E$318))</f>
        <v>2742.2700568426453</v>
      </c>
      <c r="AJ64" s="82" t="e">
        <f>IF(Q64=0,0,IF(Q64&lt;4,'C&amp;B'!$E$316+(Q64*'C&amp;B'!$E$317),Q64*'C&amp;B'!$E$318))</f>
        <v>#VALUE!</v>
      </c>
      <c r="AK64" s="82">
        <f>IF(R64=0,0,IF(R64&lt;4,'C&amp;B'!$E$316+(R64*'C&amp;B'!$E$317),R64*'C&amp;B'!$E$318))</f>
        <v>2671.2975604023982</v>
      </c>
      <c r="AL64" s="82">
        <f>IF(S64=0,0,IF(S64&lt;4,'C&amp;B'!$E$316+(S64*'C&amp;B'!$E$317),S64*'C&amp;B'!$E$318))</f>
        <v>2736.3133462066876</v>
      </c>
      <c r="AM64" s="82">
        <f>IF(T64=0,0,IF(T64&lt;4,'C&amp;B'!$E$316+(T64*'C&amp;B'!$E$317),T64*'C&amp;B'!$E$318))</f>
        <v>2741.6620183034902</v>
      </c>
      <c r="AO64" s="130" t="s">
        <v>615</v>
      </c>
      <c r="AP64" s="82" t="e">
        <f t="shared" si="27"/>
        <v>#VALUE!</v>
      </c>
      <c r="AQ64" s="82" t="e">
        <f t="shared" si="26"/>
        <v>#VALUE!</v>
      </c>
      <c r="AR64" s="82">
        <f t="shared" si="26"/>
        <v>49804.717553551156</v>
      </c>
      <c r="AS64" s="82" t="e">
        <f t="shared" si="26"/>
        <v>#VALUE!</v>
      </c>
      <c r="AT64" s="82">
        <f t="shared" si="26"/>
        <v>50027.843774190675</v>
      </c>
      <c r="AU64" s="82" t="e">
        <f t="shared" si="26"/>
        <v>#VALUE!</v>
      </c>
      <c r="AV64" s="82">
        <f t="shared" si="26"/>
        <v>51821.577311886511</v>
      </c>
      <c r="AW64" s="82" t="e">
        <f t="shared" si="26"/>
        <v>#VALUE!</v>
      </c>
      <c r="AX64" s="82">
        <f t="shared" si="26"/>
        <v>52398.515499612309</v>
      </c>
      <c r="AY64" s="82" t="e">
        <f t="shared" si="26"/>
        <v>#VALUE!</v>
      </c>
      <c r="AZ64" s="82">
        <f t="shared" si="26"/>
        <v>53599.764236461931</v>
      </c>
      <c r="BA64" s="82" t="e">
        <f t="shared" si="26"/>
        <v>#VALUE!</v>
      </c>
      <c r="BB64" s="82">
        <f t="shared" si="26"/>
        <v>53043.870056842643</v>
      </c>
      <c r="BC64" s="82" t="e">
        <f t="shared" si="26"/>
        <v>#VALUE!</v>
      </c>
      <c r="BD64" s="82">
        <f t="shared" si="26"/>
        <v>53793.69756040239</v>
      </c>
      <c r="BE64" s="82">
        <f t="shared" si="26"/>
        <v>51772.913346206689</v>
      </c>
      <c r="BF64" s="82">
        <f t="shared" si="26"/>
        <v>49811.66201830349</v>
      </c>
    </row>
    <row r="65" spans="2:60" s="4" customFormat="1">
      <c r="B65" s="133" t="s">
        <v>668</v>
      </c>
      <c r="C65" s="127"/>
      <c r="D65" s="129"/>
      <c r="E65" s="113"/>
      <c r="F65" s="129"/>
      <c r="G65" s="129"/>
      <c r="H65" s="129"/>
      <c r="I65" s="129"/>
      <c r="J65" s="129"/>
      <c r="K65" s="129"/>
      <c r="L65" s="129"/>
      <c r="M65" s="129"/>
      <c r="N65" s="129"/>
      <c r="O65" s="129"/>
      <c r="P65" s="129"/>
      <c r="Q65" s="129"/>
      <c r="R65" s="129"/>
      <c r="S65" s="129"/>
      <c r="T65" s="132"/>
      <c r="V65" s="133" t="s">
        <v>668</v>
      </c>
      <c r="W65" s="82"/>
      <c r="X65" s="82"/>
      <c r="Y65" s="82"/>
      <c r="Z65" s="82"/>
      <c r="AA65" s="82"/>
      <c r="AB65" s="82"/>
      <c r="AC65" s="82"/>
      <c r="AD65" s="82"/>
      <c r="AE65" s="82"/>
      <c r="AF65" s="82"/>
      <c r="AG65" s="82"/>
      <c r="AH65" s="82"/>
      <c r="AI65" s="82"/>
      <c r="AJ65" s="82"/>
      <c r="AK65" s="82"/>
      <c r="AL65" s="82"/>
      <c r="AM65" s="82"/>
      <c r="AO65" s="133" t="s">
        <v>668</v>
      </c>
      <c r="AP65" s="82"/>
      <c r="AQ65" s="82"/>
      <c r="AR65" s="82"/>
      <c r="AS65" s="82"/>
      <c r="AT65" s="82"/>
      <c r="AU65" s="82"/>
      <c r="AV65" s="82"/>
      <c r="AW65" s="82"/>
      <c r="AX65" s="82"/>
      <c r="AY65" s="82"/>
      <c r="AZ65" s="82"/>
      <c r="BA65" s="82"/>
      <c r="BB65" s="82"/>
      <c r="BC65" s="82"/>
      <c r="BD65" s="82"/>
      <c r="BE65" s="82"/>
      <c r="BF65" s="82"/>
    </row>
    <row r="66" spans="2:60">
      <c r="B66" s="114" t="s">
        <v>609</v>
      </c>
      <c r="C66" s="127">
        <f>SAP!D167</f>
        <v>3.803801960613622</v>
      </c>
      <c r="D66" s="131" t="str">
        <f>IF(IF(D$39&lt;=$C66,D$26,(((D$39-$C66)/SAP!$C$10)*'C&amp;B'!$D$13/SAP!$C$143)+D$26)&lt;=SAP!$D$151,IF(D$39&lt;=$C66,D$26,(((D$39-$C66)/SAP!$C$10)*'C&amp;B'!$D$13/SAP!$C$143)+D$26),"Not Possible")</f>
        <v>Not Possible</v>
      </c>
      <c r="E66" s="131" t="str">
        <f>IF(IF(E$39&lt;=$C66,E$26,(((E$39-$C66)/SAP!$C$10)*'C&amp;B'!$D$13/SAP!$C$143)+E$26)&lt;=SAP!$D$151,IF(E$39&lt;=$C66,E$26,(((E$39-$C66)/SAP!$C$10)*'C&amp;B'!$D$13/SAP!$C$143)+E$26),"Not Possible")</f>
        <v>Not Possible</v>
      </c>
      <c r="F66" s="131">
        <f>IF(IF(F$39&lt;=$C66,F$26,(((F$39-$C66)/SAP!$C$10)*'C&amp;B'!$D$13/SAP!$C$143)+F$26)&lt;=SAP!$D$151,IF(F$39&lt;=$C66,F$26,(((F$39-$C66)/SAP!$C$10)*'C&amp;B'!$D$13/SAP!$C$143)+F$26),"Not Possible")</f>
        <v>0.12069706929575968</v>
      </c>
      <c r="G66" s="131" t="str">
        <f>IF(IF(G$39&lt;=$C66,G$26,(((G$39-$C66)/SAP!$C$10)*'C&amp;B'!$D$13/SAP!$C$143)+G$26)&lt;=SAP!$D$151,IF(G$39&lt;=$C66,G$26,(((G$39-$C66)/SAP!$C$10)*'C&amp;B'!$D$13/SAP!$C$143)+G$26),"Not Possible")</f>
        <v>Not Possible</v>
      </c>
      <c r="H66" s="131">
        <f>IF(IF(H$39&lt;=$C66,H$26,(((H$39-$C66)/SAP!$C$10)*'C&amp;B'!$D$13/SAP!$C$143)+H$26)&lt;=SAP!$D$151,IF(H$39&lt;=$C66,H$26,(((H$39-$C66)/SAP!$C$10)*'C&amp;B'!$D$13/SAP!$C$143)+H$26),"Not Possible")</f>
        <v>0.13490743702828376</v>
      </c>
      <c r="I66" s="131" t="str">
        <f>IF(IF(I$39&lt;=$C66,I$26,(((I$39-$C66)/SAP!$C$10)*'C&amp;B'!$D$13/SAP!$C$143)+I$26)&lt;=SAP!$D$151,IF(I$39&lt;=$C66,I$26,(((I$39-$C66)/SAP!$C$10)*'C&amp;B'!$D$13/SAP!$C$143)+I$26),"Not Possible")</f>
        <v>Not Possible</v>
      </c>
      <c r="J66" s="131">
        <f>IF(IF(J$39&lt;=$C66,J$26,(((J$39-$C66)/SAP!$C$10)*'C&amp;B'!$D$13/SAP!$C$143)+J$26)&lt;=SAP!$D$151,IF(J$39&lt;=$C66,J$26,(((J$39-$C66)/SAP!$C$10)*'C&amp;B'!$D$13/SAP!$C$143)+J$26),"Not Possible")</f>
        <v>0.59879666652134322</v>
      </c>
      <c r="K66" s="131" t="str">
        <f>IF(IF(K$39&lt;=$C66,K$26,(((K$39-$C66)/SAP!$C$10)*'C&amp;B'!$D$13/SAP!$C$143)+K$26)&lt;=SAP!$D$151,IF(K$39&lt;=$C66,K$26,(((K$39-$C66)/SAP!$C$10)*'C&amp;B'!$D$13/SAP!$C$143)+K$26),"Not Possible")</f>
        <v>Not Possible</v>
      </c>
      <c r="L66" s="131">
        <f>IF(IF(L$39&lt;=$C66,L$26,(((L$39-$C66)/SAP!$C$10)*'C&amp;B'!$D$13/SAP!$C$143)+L$26)&lt;=SAP!$D$151,IF(L$39&lt;=$C66,L$26,(((L$39-$C66)/SAP!$C$10)*'C&amp;B'!$D$13/SAP!$C$143)+L$26),"Not Possible")</f>
        <v>0.4196936460643591</v>
      </c>
      <c r="M66" s="131" t="str">
        <f>IF(IF(M$39&lt;=$C66,M$26,(((M$39-$C66)/SAP!$C$10)*'C&amp;B'!$D$13/SAP!$C$143)+M$26)&lt;=SAP!$D$151,IF(M$39&lt;=$C66,M$26,(((M$39-$C66)/SAP!$C$10)*'C&amp;B'!$D$13/SAP!$C$143)+M$26),"Not Possible")</f>
        <v>Not Possible</v>
      </c>
      <c r="N66" s="131">
        <f>IF(IF(N$39&lt;=$C66,N$26,(((N$39-$C66)/SAP!$C$10)*'C&amp;B'!$D$13/SAP!$C$143)+N$26)&lt;=SAP!$D$151,IF(N$39&lt;=$C66,N$26,(((N$39-$C66)/SAP!$C$10)*'C&amp;B'!$D$13/SAP!$C$143)+N$26),"Not Possible")</f>
        <v>0.27977487414705027</v>
      </c>
      <c r="O66" s="131" t="str">
        <f>IF(IF(O$39&lt;=$C66,O$26,(((O$39-$C66)/SAP!$C$10)*'C&amp;B'!$D$13/SAP!$C$143)+O$26)&lt;=SAP!$D$151,IF(O$39&lt;=$C66,O$26,(((O$39-$C66)/SAP!$C$10)*'C&amp;B'!$D$13/SAP!$C$143)+O$26),"Not Possible")</f>
        <v>Not Possible</v>
      </c>
      <c r="P66" s="131">
        <f>IF(IF(P$39&lt;=$C66,P$26,(((P$39-$C66)/SAP!$C$10)*'C&amp;B'!$D$13/SAP!$C$143)+P$26)&lt;=SAP!$D$151,IF(P$39&lt;=$C66,P$26,(((P$39-$C66)/SAP!$C$10)*'C&amp;B'!$D$13/SAP!$C$143)+P$26),"Not Possible")</f>
        <v>0.13328457478157107</v>
      </c>
      <c r="Q66" s="131">
        <f>IF(IF(Q$39&lt;=$C66,Q$26,(((Q$39-$C66)/SAP!$C$10)*'C&amp;B'!$D$13/SAP!$C$143)+Q$26)&lt;=SAP!$D$151,IF(Q$39&lt;=$C66,Q$26,(((Q$39-$C66)/SAP!$C$10)*'C&amp;B'!$D$13/SAP!$C$143)+Q$26),"Not Possible")</f>
        <v>4.8672350926154939</v>
      </c>
      <c r="R66" s="131">
        <f>IF(IF(R$39&lt;=$C66,R$26,(((R$39-$C66)/SAP!$C$10)*'C&amp;B'!$D$13/SAP!$C$143)+R$26)&lt;=SAP!$D$151,IF(R$39&lt;=$C66,R$26,(((R$39-$C66)/SAP!$C$10)*'C&amp;B'!$D$13/SAP!$C$143)+R$26),"Not Possible")</f>
        <v>1.4997080714491956E-2</v>
      </c>
      <c r="S66" s="131">
        <f>IF(IF(S$39&lt;=$C66,S$26,(((S$39-$C66)/SAP!$C$10)*'C&amp;B'!$D$13/SAP!$C$143)+S$26)&lt;=SAP!$D$151,IF(S$39&lt;=$C66,S$26,(((S$39-$C66)/SAP!$C$10)*'C&amp;B'!$D$13/SAP!$C$143)+S$26),"Not Possible")</f>
        <v>0.12335672372164123</v>
      </c>
      <c r="T66" s="131">
        <f>IF(IF(T$39&lt;=$C66,T$26,(((T$39-$C66)/SAP!$C$10)*'C&amp;B'!$D$13/SAP!$C$143)+T$26)&lt;=SAP!$D$151,IF(T$39&lt;=$C66,T$26,(((T$39-$C66)/SAP!$C$10)*'C&amp;B'!$D$13/SAP!$C$143)+T$26),"Not Possible")</f>
        <v>0.13227117721631174</v>
      </c>
      <c r="V66" s="130" t="s">
        <v>609</v>
      </c>
      <c r="W66" s="82" t="e">
        <f>IF(D66=0,0,IF(D66&lt;4,'C&amp;B'!$E$316+(D66*'C&amp;B'!$E$317),D66*'C&amp;B'!$E$318))</f>
        <v>#VALUE!</v>
      </c>
      <c r="X66" s="82" t="e">
        <f>IF(E66=0,0,IF(E66&lt;4,'C&amp;B'!$E$316+(E66*'C&amp;B'!$E$317),E66*'C&amp;B'!$E$318))</f>
        <v>#VALUE!</v>
      </c>
      <c r="Y66" s="82">
        <f>IF(F66=0,0,IF(F66&lt;4,'C&amp;B'!$E$316+(F66*'C&amp;B'!$E$317),F66*'C&amp;B'!$E$318))</f>
        <v>1172.4182415774558</v>
      </c>
      <c r="Z66" s="82" t="e">
        <f>IF(G66=0,0,IF(G66&lt;4,'C&amp;B'!$E$316+(G66*'C&amp;B'!$E$317),G66*'C&amp;B'!$E$318))</f>
        <v>#VALUE!</v>
      </c>
      <c r="AA66" s="82">
        <f>IF(H66=0,0,IF(H66&lt;4,'C&amp;B'!$E$316+(H66*'C&amp;B'!$E$317),H66*'C&amp;B'!$E$318))</f>
        <v>1180.9444622169704</v>
      </c>
      <c r="AB66" s="82" t="e">
        <f>IF(I66=0,0,IF(I66&lt;4,'C&amp;B'!$E$316+(I66*'C&amp;B'!$E$317),I66*'C&amp;B'!$E$318))</f>
        <v>#VALUE!</v>
      </c>
      <c r="AC66" s="82">
        <f>IF(J66=0,0,IF(J66&lt;4,'C&amp;B'!$E$316+(J66*'C&amp;B'!$E$317),J66*'C&amp;B'!$E$318))</f>
        <v>1459.2779999128059</v>
      </c>
      <c r="AD66" s="82" t="e">
        <f>IF(K66=0,0,IF(K66&lt;4,'C&amp;B'!$E$316+(K66*'C&amp;B'!$E$317),K66*'C&amp;B'!$E$318))</f>
        <v>#VALUE!</v>
      </c>
      <c r="AE66" s="82">
        <f>IF(L66=0,0,IF(L66&lt;4,'C&amp;B'!$E$316+(L66*'C&amp;B'!$E$317),L66*'C&amp;B'!$E$318))</f>
        <v>1351.8161876386155</v>
      </c>
      <c r="AF66" s="82" t="e">
        <f>IF(M66=0,0,IF(M66&lt;4,'C&amp;B'!$E$316+(M66*'C&amp;B'!$E$317),M66*'C&amp;B'!$E$318))</f>
        <v>#VALUE!</v>
      </c>
      <c r="AG66" s="82">
        <f>IF(N66=0,0,IF(N66&lt;4,'C&amp;B'!$E$316+(N66*'C&amp;B'!$E$317),N66*'C&amp;B'!$E$318))</f>
        <v>1267.8649244882301</v>
      </c>
      <c r="AH66" s="82" t="e">
        <f>IF(O66=0,0,IF(O66&lt;4,'C&amp;B'!$E$316+(O66*'C&amp;B'!$E$317),O66*'C&amp;B'!$E$318))</f>
        <v>#VALUE!</v>
      </c>
      <c r="AI66" s="82">
        <f>IF(P66=0,0,IF(P66&lt;4,'C&amp;B'!$E$316+(P66*'C&amp;B'!$E$317),P66*'C&amp;B'!$E$318))</f>
        <v>1179.9707448689426</v>
      </c>
      <c r="AJ66" s="82">
        <f>IF(Q66=0,0,IF(Q66&lt;4,'C&amp;B'!$E$316+(Q66*'C&amp;B'!$E$317),Q66*'C&amp;B'!$E$318))</f>
        <v>5353.9586018770433</v>
      </c>
      <c r="AK66" s="82">
        <f>IF(R66=0,0,IF(R66&lt;4,'C&amp;B'!$E$316+(R66*'C&amp;B'!$E$317),R66*'C&amp;B'!$E$318))</f>
        <v>1108.9982484286952</v>
      </c>
      <c r="AL66" s="82">
        <f>IF(S66=0,0,IF(S66&lt;4,'C&amp;B'!$E$316+(S66*'C&amp;B'!$E$317),S66*'C&amp;B'!$E$318))</f>
        <v>1174.0140342329848</v>
      </c>
      <c r="AM66" s="82">
        <f>IF(T66=0,0,IF(T66&lt;4,'C&amp;B'!$E$316+(T66*'C&amp;B'!$E$317),T66*'C&amp;B'!$E$318))</f>
        <v>1179.362706329787</v>
      </c>
      <c r="AO66" s="130" t="s">
        <v>609</v>
      </c>
      <c r="AP66" s="82" t="e">
        <f>AP$27-AP$26+W66</f>
        <v>#VALUE!</v>
      </c>
      <c r="AQ66" s="82" t="e">
        <f t="shared" ref="AQ66:BF72" si="28">AQ$27-AQ$26+X66</f>
        <v>#VALUE!</v>
      </c>
      <c r="AR66" s="82">
        <f t="shared" si="28"/>
        <v>48242.418241577456</v>
      </c>
      <c r="AS66" s="82" t="e">
        <f t="shared" si="28"/>
        <v>#VALUE!</v>
      </c>
      <c r="AT66" s="82">
        <f t="shared" si="28"/>
        <v>48465.544462216967</v>
      </c>
      <c r="AU66" s="82" t="e">
        <f t="shared" si="28"/>
        <v>#VALUE!</v>
      </c>
      <c r="AV66" s="82">
        <f t="shared" si="28"/>
        <v>50259.277999912803</v>
      </c>
      <c r="AW66" s="82" t="e">
        <f t="shared" si="28"/>
        <v>#VALUE!</v>
      </c>
      <c r="AX66" s="82">
        <f t="shared" si="28"/>
        <v>50836.216187638609</v>
      </c>
      <c r="AY66" s="82" t="e">
        <f t="shared" si="28"/>
        <v>#VALUE!</v>
      </c>
      <c r="AZ66" s="82">
        <f t="shared" si="28"/>
        <v>52037.464924488231</v>
      </c>
      <c r="BA66" s="82" t="e">
        <f t="shared" si="28"/>
        <v>#VALUE!</v>
      </c>
      <c r="BB66" s="82">
        <f t="shared" si="28"/>
        <v>51481.570744868943</v>
      </c>
      <c r="BC66" s="82">
        <f t="shared" si="28"/>
        <v>55992.358601877037</v>
      </c>
      <c r="BD66" s="82">
        <f t="shared" si="28"/>
        <v>52231.39824842869</v>
      </c>
      <c r="BE66" s="82">
        <f t="shared" si="28"/>
        <v>50210.614034232982</v>
      </c>
      <c r="BF66" s="82">
        <f t="shared" si="28"/>
        <v>48249.36270632979</v>
      </c>
      <c r="BH66" s="4"/>
    </row>
    <row r="67" spans="2:60">
      <c r="B67" s="114" t="s">
        <v>610</v>
      </c>
      <c r="C67" s="127">
        <f>SAP!D168</f>
        <v>3.42342176455226</v>
      </c>
      <c r="D67" s="131" t="str">
        <f>IF(IF(D$39&lt;=$C67,D$26,(((D$39-$C67)/SAP!$C$10)*'C&amp;B'!$D$13/SAP!$C$143)+D$26)&lt;=SAP!$D$151,IF(D$39&lt;=$C67,D$26,(((D$39-$C67)/SAP!$C$10)*'C&amp;B'!$D$13/SAP!$C$143)+D$26),"Not Possible")</f>
        <v>Not Possible</v>
      </c>
      <c r="E67" s="131" t="str">
        <f>IF(IF(E$39&lt;=$C67,E$26,(((E$39-$C67)/SAP!$C$10)*'C&amp;B'!$D$13/SAP!$C$143)+E$26)&lt;=SAP!$D$151,IF(E$39&lt;=$C67,E$26,(((E$39-$C67)/SAP!$C$10)*'C&amp;B'!$D$13/SAP!$C$143)+E$26),"Not Possible")</f>
        <v>Not Possible</v>
      </c>
      <c r="F67" s="131">
        <f>IF(IF(F$39&lt;=$C67,F$26,(((F$39-$C67)/SAP!$C$10)*'C&amp;B'!$D$13/SAP!$C$143)+F$26)&lt;=SAP!$D$151,IF(F$39&lt;=$C67,F$26,(((F$39-$C67)/SAP!$C$10)*'C&amp;B'!$D$13/SAP!$C$143)+F$26),"Not Possible")</f>
        <v>0.38108028795804333</v>
      </c>
      <c r="G67" s="131" t="str">
        <f>IF(IF(G$39&lt;=$C67,G$26,(((G$39-$C67)/SAP!$C$10)*'C&amp;B'!$D$13/SAP!$C$143)+G$26)&lt;=SAP!$D$151,IF(G$39&lt;=$C67,G$26,(((G$39-$C67)/SAP!$C$10)*'C&amp;B'!$D$13/SAP!$C$143)+G$26),"Not Possible")</f>
        <v>Not Possible</v>
      </c>
      <c r="H67" s="131">
        <f>IF(IF(H$39&lt;=$C67,H$26,(((H$39-$C67)/SAP!$C$10)*'C&amp;B'!$D$13/SAP!$C$143)+H$26)&lt;=SAP!$D$151,IF(H$39&lt;=$C67,H$26,(((H$39-$C67)/SAP!$C$10)*'C&amp;B'!$D$13/SAP!$C$143)+H$26),"Not Possible")</f>
        <v>0.39529065569056743</v>
      </c>
      <c r="I67" s="131" t="str">
        <f>IF(IF(I$39&lt;=$C67,I$26,(((I$39-$C67)/SAP!$C$10)*'C&amp;B'!$D$13/SAP!$C$143)+I$26)&lt;=SAP!$D$151,IF(I$39&lt;=$C67,I$26,(((I$39-$C67)/SAP!$C$10)*'C&amp;B'!$D$13/SAP!$C$143)+I$26),"Not Possible")</f>
        <v>Not Possible</v>
      </c>
      <c r="J67" s="131">
        <f>IF(IF(J$39&lt;=$C67,J$26,(((J$39-$C67)/SAP!$C$10)*'C&amp;B'!$D$13/SAP!$C$143)+J$26)&lt;=SAP!$D$151,IF(J$39&lt;=$C67,J$26,(((J$39-$C67)/SAP!$C$10)*'C&amp;B'!$D$13/SAP!$C$143)+J$26),"Not Possible")</f>
        <v>0.85917988518362676</v>
      </c>
      <c r="K67" s="131" t="str">
        <f>IF(IF(K$39&lt;=$C67,K$26,(((K$39-$C67)/SAP!$C$10)*'C&amp;B'!$D$13/SAP!$C$143)+K$26)&lt;=SAP!$D$151,IF(K$39&lt;=$C67,K$26,(((K$39-$C67)/SAP!$C$10)*'C&amp;B'!$D$13/SAP!$C$143)+K$26),"Not Possible")</f>
        <v>Not Possible</v>
      </c>
      <c r="L67" s="131">
        <f>IF(IF(L$39&lt;=$C67,L$26,(((L$39-$C67)/SAP!$C$10)*'C&amp;B'!$D$13/SAP!$C$143)+L$26)&lt;=SAP!$D$151,IF(L$39&lt;=$C67,L$26,(((L$39-$C67)/SAP!$C$10)*'C&amp;B'!$D$13/SAP!$C$143)+L$26),"Not Possible")</f>
        <v>0.68007686472664275</v>
      </c>
      <c r="M67" s="131" t="str">
        <f>IF(IF(M$39&lt;=$C67,M$26,(((M$39-$C67)/SAP!$C$10)*'C&amp;B'!$D$13/SAP!$C$143)+M$26)&lt;=SAP!$D$151,IF(M$39&lt;=$C67,M$26,(((M$39-$C67)/SAP!$C$10)*'C&amp;B'!$D$13/SAP!$C$143)+M$26),"Not Possible")</f>
        <v>Not Possible</v>
      </c>
      <c r="N67" s="131">
        <f>IF(IF(N$39&lt;=$C67,N$26,(((N$39-$C67)/SAP!$C$10)*'C&amp;B'!$D$13/SAP!$C$143)+N$26)&lt;=SAP!$D$151,IF(N$39&lt;=$C67,N$26,(((N$39-$C67)/SAP!$C$10)*'C&amp;B'!$D$13/SAP!$C$143)+N$26),"Not Possible")</f>
        <v>0.54015809280933391</v>
      </c>
      <c r="O67" s="131" t="str">
        <f>IF(IF(O$39&lt;=$C67,O$26,(((O$39-$C67)/SAP!$C$10)*'C&amp;B'!$D$13/SAP!$C$143)+O$26)&lt;=SAP!$D$151,IF(O$39&lt;=$C67,O$26,(((O$39-$C67)/SAP!$C$10)*'C&amp;B'!$D$13/SAP!$C$143)+O$26),"Not Possible")</f>
        <v>Not Possible</v>
      </c>
      <c r="P67" s="131">
        <f>IF(IF(P$39&lt;=$C67,P$26,(((P$39-$C67)/SAP!$C$10)*'C&amp;B'!$D$13/SAP!$C$143)+P$26)&lt;=SAP!$D$151,IF(P$39&lt;=$C67,P$26,(((P$39-$C67)/SAP!$C$10)*'C&amp;B'!$D$13/SAP!$C$143)+P$26),"Not Possible")</f>
        <v>0.39366779344385472</v>
      </c>
      <c r="Q67" s="131">
        <f>IF(IF(Q$39&lt;=$C67,Q$26,(((Q$39-$C67)/SAP!$C$10)*'C&amp;B'!$D$13/SAP!$C$143)+Q$26)&lt;=SAP!$D$151,IF(Q$39&lt;=$C67,Q$26,(((Q$39-$C67)/SAP!$C$10)*'C&amp;B'!$D$13/SAP!$C$143)+Q$26),"Not Possible")</f>
        <v>5.1276183112777778</v>
      </c>
      <c r="R67" s="131">
        <f>IF(IF(R$39&lt;=$C67,R$26,(((R$39-$C67)/SAP!$C$10)*'C&amp;B'!$D$13/SAP!$C$143)+R$26)&lt;=SAP!$D$151,IF(R$39&lt;=$C67,R$26,(((R$39-$C67)/SAP!$C$10)*'C&amp;B'!$D$13/SAP!$C$143)+R$26),"Not Possible")</f>
        <v>0.27538029937677561</v>
      </c>
      <c r="S67" s="131">
        <f>IF(IF(S$39&lt;=$C67,S$26,(((S$39-$C67)/SAP!$C$10)*'C&amp;B'!$D$13/SAP!$C$143)+S$26)&lt;=SAP!$D$151,IF(S$39&lt;=$C67,S$26,(((S$39-$C67)/SAP!$C$10)*'C&amp;B'!$D$13/SAP!$C$143)+S$26),"Not Possible")</f>
        <v>0.38373994238392489</v>
      </c>
      <c r="T67" s="131">
        <f>IF(IF(T$39&lt;=$C67,T$26,(((T$39-$C67)/SAP!$C$10)*'C&amp;B'!$D$13/SAP!$C$143)+T$26)&lt;=SAP!$D$151,IF(T$39&lt;=$C67,T$26,(((T$39-$C67)/SAP!$C$10)*'C&amp;B'!$D$13/SAP!$C$143)+T$26),"Not Possible")</f>
        <v>0.39265439587859541</v>
      </c>
      <c r="V67" s="130" t="s">
        <v>610</v>
      </c>
      <c r="W67" s="82" t="e">
        <f>IF(D67=0,0,IF(D67&lt;4,'C&amp;B'!$E$316+(D67*'C&amp;B'!$E$317),D67*'C&amp;B'!$E$318))</f>
        <v>#VALUE!</v>
      </c>
      <c r="X67" s="82" t="e">
        <f>IF(E67=0,0,IF(E67&lt;4,'C&amp;B'!$E$316+(E67*'C&amp;B'!$E$317),E67*'C&amp;B'!$E$318))</f>
        <v>#VALUE!</v>
      </c>
      <c r="Y67" s="82">
        <f>IF(F67=0,0,IF(F67&lt;4,'C&amp;B'!$E$316+(F67*'C&amp;B'!$E$317),F67*'C&amp;B'!$E$318))</f>
        <v>1328.648172774826</v>
      </c>
      <c r="Z67" s="82" t="e">
        <f>IF(G67=0,0,IF(G67&lt;4,'C&amp;B'!$E$316+(G67*'C&amp;B'!$E$317),G67*'C&amp;B'!$E$318))</f>
        <v>#VALUE!</v>
      </c>
      <c r="AA67" s="82">
        <f>IF(H67=0,0,IF(H67&lt;4,'C&amp;B'!$E$316+(H67*'C&amp;B'!$E$317),H67*'C&amp;B'!$E$318))</f>
        <v>1337.1743934143406</v>
      </c>
      <c r="AB67" s="82" t="e">
        <f>IF(I67=0,0,IF(I67&lt;4,'C&amp;B'!$E$316+(I67*'C&amp;B'!$E$317),I67*'C&amp;B'!$E$318))</f>
        <v>#VALUE!</v>
      </c>
      <c r="AC67" s="82">
        <f>IF(J67=0,0,IF(J67&lt;4,'C&amp;B'!$E$316+(J67*'C&amp;B'!$E$317),J67*'C&amp;B'!$E$318))</f>
        <v>1615.5079311101761</v>
      </c>
      <c r="AD67" s="82" t="e">
        <f>IF(K67=0,0,IF(K67&lt;4,'C&amp;B'!$E$316+(K67*'C&amp;B'!$E$317),K67*'C&amp;B'!$E$318))</f>
        <v>#VALUE!</v>
      </c>
      <c r="AE67" s="82">
        <f>IF(L67=0,0,IF(L67&lt;4,'C&amp;B'!$E$316+(L67*'C&amp;B'!$E$317),L67*'C&amp;B'!$E$318))</f>
        <v>1508.0461188359857</v>
      </c>
      <c r="AF67" s="82" t="e">
        <f>IF(M67=0,0,IF(M67&lt;4,'C&amp;B'!$E$316+(M67*'C&amp;B'!$E$317),M67*'C&amp;B'!$E$318))</f>
        <v>#VALUE!</v>
      </c>
      <c r="AG67" s="82">
        <f>IF(N67=0,0,IF(N67&lt;4,'C&amp;B'!$E$316+(N67*'C&amp;B'!$E$317),N67*'C&amp;B'!$E$318))</f>
        <v>1424.0948556856004</v>
      </c>
      <c r="AH67" s="82" t="e">
        <f>IF(O67=0,0,IF(O67&lt;4,'C&amp;B'!$E$316+(O67*'C&amp;B'!$E$317),O67*'C&amp;B'!$E$318))</f>
        <v>#VALUE!</v>
      </c>
      <c r="AI67" s="82">
        <f>IF(P67=0,0,IF(P67&lt;4,'C&amp;B'!$E$316+(P67*'C&amp;B'!$E$317),P67*'C&amp;B'!$E$318))</f>
        <v>1336.2006760663128</v>
      </c>
      <c r="AJ67" s="82">
        <f>IF(Q67=0,0,IF(Q67&lt;4,'C&amp;B'!$E$316+(Q67*'C&amp;B'!$E$317),Q67*'C&amp;B'!$E$318))</f>
        <v>5640.3801424055555</v>
      </c>
      <c r="AK67" s="82">
        <f>IF(R67=0,0,IF(R67&lt;4,'C&amp;B'!$E$316+(R67*'C&amp;B'!$E$317),R67*'C&amp;B'!$E$318))</f>
        <v>1265.2281796260654</v>
      </c>
      <c r="AL67" s="82">
        <f>IF(S67=0,0,IF(S67&lt;4,'C&amp;B'!$E$316+(S67*'C&amp;B'!$E$317),S67*'C&amp;B'!$E$318))</f>
        <v>1330.2439654303548</v>
      </c>
      <c r="AM67" s="82">
        <f>IF(T67=0,0,IF(T67&lt;4,'C&amp;B'!$E$316+(T67*'C&amp;B'!$E$317),T67*'C&amp;B'!$E$318))</f>
        <v>1335.5926375271572</v>
      </c>
      <c r="AO67" s="130" t="s">
        <v>610</v>
      </c>
      <c r="AP67" s="82" t="e">
        <f t="shared" ref="AP67:AP72" si="29">AP$27-AP$26+W67</f>
        <v>#VALUE!</v>
      </c>
      <c r="AQ67" s="82" t="e">
        <f t="shared" si="28"/>
        <v>#VALUE!</v>
      </c>
      <c r="AR67" s="82">
        <f t="shared" si="28"/>
        <v>48398.648172774825</v>
      </c>
      <c r="AS67" s="82" t="e">
        <f t="shared" si="28"/>
        <v>#VALUE!</v>
      </c>
      <c r="AT67" s="82">
        <f t="shared" si="28"/>
        <v>48621.774393414336</v>
      </c>
      <c r="AU67" s="82" t="e">
        <f t="shared" si="28"/>
        <v>#VALUE!</v>
      </c>
      <c r="AV67" s="82">
        <f t="shared" si="28"/>
        <v>50415.507931110173</v>
      </c>
      <c r="AW67" s="82" t="e">
        <f t="shared" si="28"/>
        <v>#VALUE!</v>
      </c>
      <c r="AX67" s="82">
        <f t="shared" si="28"/>
        <v>50992.446118835978</v>
      </c>
      <c r="AY67" s="82" t="e">
        <f t="shared" si="28"/>
        <v>#VALUE!</v>
      </c>
      <c r="AZ67" s="82">
        <f t="shared" si="28"/>
        <v>52193.6948556856</v>
      </c>
      <c r="BA67" s="82" t="e">
        <f t="shared" si="28"/>
        <v>#VALUE!</v>
      </c>
      <c r="BB67" s="82">
        <f t="shared" si="28"/>
        <v>51637.800676066312</v>
      </c>
      <c r="BC67" s="82">
        <f t="shared" si="28"/>
        <v>56278.780142405551</v>
      </c>
      <c r="BD67" s="82">
        <f t="shared" si="28"/>
        <v>52387.628179626059</v>
      </c>
      <c r="BE67" s="82">
        <f t="shared" si="28"/>
        <v>50366.843965430351</v>
      </c>
      <c r="BF67" s="82">
        <f t="shared" si="28"/>
        <v>48405.592637527159</v>
      </c>
    </row>
    <row r="68" spans="2:60">
      <c r="B68" s="114" t="s">
        <v>611</v>
      </c>
      <c r="C68" s="127">
        <f>SAP!D169</f>
        <v>3.0430415684908976</v>
      </c>
      <c r="D68" s="131" t="str">
        <f>IF(IF(D$39&lt;=$C68,D$26,(((D$39-$C68)/SAP!$C$10)*'C&amp;B'!$D$13/SAP!$C$143)+D$26)&lt;=SAP!$D$151,IF(D$39&lt;=$C68,D$26,(((D$39-$C68)/SAP!$C$10)*'C&amp;B'!$D$13/SAP!$C$143)+D$26),"Not Possible")</f>
        <v>Not Possible</v>
      </c>
      <c r="E68" s="131" t="str">
        <f>IF(IF(E$39&lt;=$C68,E$26,(((E$39-$C68)/SAP!$C$10)*'C&amp;B'!$D$13/SAP!$C$143)+E$26)&lt;=SAP!$D$151,IF(E$39&lt;=$C68,E$26,(((E$39-$C68)/SAP!$C$10)*'C&amp;B'!$D$13/SAP!$C$143)+E$26),"Not Possible")</f>
        <v>Not Possible</v>
      </c>
      <c r="F68" s="131">
        <f>IF(IF(F$39&lt;=$C68,F$26,(((F$39-$C68)/SAP!$C$10)*'C&amp;B'!$D$13/SAP!$C$143)+F$26)&lt;=SAP!$D$151,IF(F$39&lt;=$C68,F$26,(((F$39-$C68)/SAP!$C$10)*'C&amp;B'!$D$13/SAP!$C$143)+F$26),"Not Possible")</f>
        <v>0.64146350662032736</v>
      </c>
      <c r="G68" s="131" t="str">
        <f>IF(IF(G$39&lt;=$C68,G$26,(((G$39-$C68)/SAP!$C$10)*'C&amp;B'!$D$13/SAP!$C$143)+G$26)&lt;=SAP!$D$151,IF(G$39&lt;=$C68,G$26,(((G$39-$C68)/SAP!$C$10)*'C&amp;B'!$D$13/SAP!$C$143)+G$26),"Not Possible")</f>
        <v>Not Possible</v>
      </c>
      <c r="H68" s="131">
        <f>IF(IF(H$39&lt;=$C68,H$26,(((H$39-$C68)/SAP!$C$10)*'C&amp;B'!$D$13/SAP!$C$143)+H$26)&lt;=SAP!$D$151,IF(H$39&lt;=$C68,H$26,(((H$39-$C68)/SAP!$C$10)*'C&amp;B'!$D$13/SAP!$C$143)+H$26),"Not Possible")</f>
        <v>0.6556738743528514</v>
      </c>
      <c r="I68" s="131" t="str">
        <f>IF(IF(I$39&lt;=$C68,I$26,(((I$39-$C68)/SAP!$C$10)*'C&amp;B'!$D$13/SAP!$C$143)+I$26)&lt;=SAP!$D$151,IF(I$39&lt;=$C68,I$26,(((I$39-$C68)/SAP!$C$10)*'C&amp;B'!$D$13/SAP!$C$143)+I$26),"Not Possible")</f>
        <v>Not Possible</v>
      </c>
      <c r="J68" s="131">
        <f>IF(IF(J$39&lt;=$C68,J$26,(((J$39-$C68)/SAP!$C$10)*'C&amp;B'!$D$13/SAP!$C$143)+J$26)&lt;=SAP!$D$151,IF(J$39&lt;=$C68,J$26,(((J$39-$C68)/SAP!$C$10)*'C&amp;B'!$D$13/SAP!$C$143)+J$26),"Not Possible")</f>
        <v>1.1195631038459108</v>
      </c>
      <c r="K68" s="131" t="str">
        <f>IF(IF(K$39&lt;=$C68,K$26,(((K$39-$C68)/SAP!$C$10)*'C&amp;B'!$D$13/SAP!$C$143)+K$26)&lt;=SAP!$D$151,IF(K$39&lt;=$C68,K$26,(((K$39-$C68)/SAP!$C$10)*'C&amp;B'!$D$13/SAP!$C$143)+K$26),"Not Possible")</f>
        <v>Not Possible</v>
      </c>
      <c r="L68" s="131">
        <f>IF(IF(L$39&lt;=$C68,L$26,(((L$39-$C68)/SAP!$C$10)*'C&amp;B'!$D$13/SAP!$C$143)+L$26)&lt;=SAP!$D$151,IF(L$39&lt;=$C68,L$26,(((L$39-$C68)/SAP!$C$10)*'C&amp;B'!$D$13/SAP!$C$143)+L$26),"Not Possible")</f>
        <v>0.94046008338892673</v>
      </c>
      <c r="M68" s="131" t="str">
        <f>IF(IF(M$39&lt;=$C68,M$26,(((M$39-$C68)/SAP!$C$10)*'C&amp;B'!$D$13/SAP!$C$143)+M$26)&lt;=SAP!$D$151,IF(M$39&lt;=$C68,M$26,(((M$39-$C68)/SAP!$C$10)*'C&amp;B'!$D$13/SAP!$C$143)+M$26),"Not Possible")</f>
        <v>Not Possible</v>
      </c>
      <c r="N68" s="131">
        <f>IF(IF(N$39&lt;=$C68,N$26,(((N$39-$C68)/SAP!$C$10)*'C&amp;B'!$D$13/SAP!$C$143)+N$26)&lt;=SAP!$D$151,IF(N$39&lt;=$C68,N$26,(((N$39-$C68)/SAP!$C$10)*'C&amp;B'!$D$13/SAP!$C$143)+N$26),"Not Possible")</f>
        <v>0.80054131147161789</v>
      </c>
      <c r="O68" s="131" t="str">
        <f>IF(IF(O$39&lt;=$C68,O$26,(((O$39-$C68)/SAP!$C$10)*'C&amp;B'!$D$13/SAP!$C$143)+O$26)&lt;=SAP!$D$151,IF(O$39&lt;=$C68,O$26,(((O$39-$C68)/SAP!$C$10)*'C&amp;B'!$D$13/SAP!$C$143)+O$26),"Not Possible")</f>
        <v>Not Possible</v>
      </c>
      <c r="P68" s="131">
        <f>IF(IF(P$39&lt;=$C68,P$26,(((P$39-$C68)/SAP!$C$10)*'C&amp;B'!$D$13/SAP!$C$143)+P$26)&lt;=SAP!$D$151,IF(P$39&lt;=$C68,P$26,(((P$39-$C68)/SAP!$C$10)*'C&amp;B'!$D$13/SAP!$C$143)+P$26),"Not Possible")</f>
        <v>0.6540510121061387</v>
      </c>
      <c r="Q68" s="131" t="str">
        <f>IF(IF(Q$39&lt;=$C68,Q$26,(((Q$39-$C68)/SAP!$C$10)*'C&amp;B'!$D$13/SAP!$C$143)+Q$26)&lt;=SAP!$D$151,IF(Q$39&lt;=$C68,Q$26,(((Q$39-$C68)/SAP!$C$10)*'C&amp;B'!$D$13/SAP!$C$143)+Q$26),"Not Possible")</f>
        <v>Not Possible</v>
      </c>
      <c r="R68" s="131">
        <f>IF(IF(R$39&lt;=$C68,R$26,(((R$39-$C68)/SAP!$C$10)*'C&amp;B'!$D$13/SAP!$C$143)+R$26)&lt;=SAP!$D$151,IF(R$39&lt;=$C68,R$26,(((R$39-$C68)/SAP!$C$10)*'C&amp;B'!$D$13/SAP!$C$143)+R$26),"Not Possible")</f>
        <v>0.53576351803905964</v>
      </c>
      <c r="S68" s="131">
        <f>IF(IF(S$39&lt;=$C68,S$26,(((S$39-$C68)/SAP!$C$10)*'C&amp;B'!$D$13/SAP!$C$143)+S$26)&lt;=SAP!$D$151,IF(S$39&lt;=$C68,S$26,(((S$39-$C68)/SAP!$C$10)*'C&amp;B'!$D$13/SAP!$C$143)+S$26),"Not Possible")</f>
        <v>0.64412316104620881</v>
      </c>
      <c r="T68" s="131">
        <f>IF(IF(T$39&lt;=$C68,T$26,(((T$39-$C68)/SAP!$C$10)*'C&amp;B'!$D$13/SAP!$C$143)+T$26)&lt;=SAP!$D$151,IF(T$39&lt;=$C68,T$26,(((T$39-$C68)/SAP!$C$10)*'C&amp;B'!$D$13/SAP!$C$143)+T$26),"Not Possible")</f>
        <v>0.65303761454087927</v>
      </c>
      <c r="V68" s="130" t="s">
        <v>611</v>
      </c>
      <c r="W68" s="82" t="e">
        <f>IF(D68=0,0,IF(D68&lt;4,'C&amp;B'!$E$316+(D68*'C&amp;B'!$E$317),D68*'C&amp;B'!$E$318))</f>
        <v>#VALUE!</v>
      </c>
      <c r="X68" s="82" t="e">
        <f>IF(E68=0,0,IF(E68&lt;4,'C&amp;B'!$E$316+(E68*'C&amp;B'!$E$317),E68*'C&amp;B'!$E$318))</f>
        <v>#VALUE!</v>
      </c>
      <c r="Y68" s="82">
        <f>IF(F68=0,0,IF(F68&lt;4,'C&amp;B'!$E$316+(F68*'C&amp;B'!$E$317),F68*'C&amp;B'!$E$318))</f>
        <v>1484.8781039721964</v>
      </c>
      <c r="Z68" s="82" t="e">
        <f>IF(G68=0,0,IF(G68&lt;4,'C&amp;B'!$E$316+(G68*'C&amp;B'!$E$317),G68*'C&amp;B'!$E$318))</f>
        <v>#VALUE!</v>
      </c>
      <c r="AA68" s="82">
        <f>IF(H68=0,0,IF(H68&lt;4,'C&amp;B'!$E$316+(H68*'C&amp;B'!$E$317),H68*'C&amp;B'!$E$318))</f>
        <v>1493.4043246117108</v>
      </c>
      <c r="AB68" s="82" t="e">
        <f>IF(I68=0,0,IF(I68&lt;4,'C&amp;B'!$E$316+(I68*'C&amp;B'!$E$317),I68*'C&amp;B'!$E$318))</f>
        <v>#VALUE!</v>
      </c>
      <c r="AC68" s="82">
        <f>IF(J68=0,0,IF(J68&lt;4,'C&amp;B'!$E$316+(J68*'C&amp;B'!$E$317),J68*'C&amp;B'!$E$318))</f>
        <v>1771.7378623075465</v>
      </c>
      <c r="AD68" s="82" t="e">
        <f>IF(K68=0,0,IF(K68&lt;4,'C&amp;B'!$E$316+(K68*'C&amp;B'!$E$317),K68*'C&amp;B'!$E$318))</f>
        <v>#VALUE!</v>
      </c>
      <c r="AE68" s="82">
        <f>IF(L68=0,0,IF(L68&lt;4,'C&amp;B'!$E$316+(L68*'C&amp;B'!$E$317),L68*'C&amp;B'!$E$318))</f>
        <v>1664.2760500333561</v>
      </c>
      <c r="AF68" s="82" t="e">
        <f>IF(M68=0,0,IF(M68&lt;4,'C&amp;B'!$E$316+(M68*'C&amp;B'!$E$317),M68*'C&amp;B'!$E$318))</f>
        <v>#VALUE!</v>
      </c>
      <c r="AG68" s="82">
        <f>IF(N68=0,0,IF(N68&lt;4,'C&amp;B'!$E$316+(N68*'C&amp;B'!$E$317),N68*'C&amp;B'!$E$318))</f>
        <v>1580.3247868829708</v>
      </c>
      <c r="AH68" s="82" t="e">
        <f>IF(O68=0,0,IF(O68&lt;4,'C&amp;B'!$E$316+(O68*'C&amp;B'!$E$317),O68*'C&amp;B'!$E$318))</f>
        <v>#VALUE!</v>
      </c>
      <c r="AI68" s="82">
        <f>IF(P68=0,0,IF(P68&lt;4,'C&amp;B'!$E$316+(P68*'C&amp;B'!$E$317),P68*'C&amp;B'!$E$318))</f>
        <v>1492.4306072636832</v>
      </c>
      <c r="AJ68" s="82" t="e">
        <f>IF(Q68=0,0,IF(Q68&lt;4,'C&amp;B'!$E$316+(Q68*'C&amp;B'!$E$317),Q68*'C&amp;B'!$E$318))</f>
        <v>#VALUE!</v>
      </c>
      <c r="AK68" s="82">
        <f>IF(R68=0,0,IF(R68&lt;4,'C&amp;B'!$E$316+(R68*'C&amp;B'!$E$317),R68*'C&amp;B'!$E$318))</f>
        <v>1421.4581108234358</v>
      </c>
      <c r="AL68" s="82">
        <f>IF(S68=0,0,IF(S68&lt;4,'C&amp;B'!$E$316+(S68*'C&amp;B'!$E$317),S68*'C&amp;B'!$E$318))</f>
        <v>1486.4738966277253</v>
      </c>
      <c r="AM68" s="82">
        <f>IF(T68=0,0,IF(T68&lt;4,'C&amp;B'!$E$316+(T68*'C&amp;B'!$E$317),T68*'C&amp;B'!$E$318))</f>
        <v>1491.8225687245276</v>
      </c>
      <c r="AO68" s="130" t="s">
        <v>611</v>
      </c>
      <c r="AP68" s="82" t="e">
        <f t="shared" si="29"/>
        <v>#VALUE!</v>
      </c>
      <c r="AQ68" s="82" t="e">
        <f t="shared" si="28"/>
        <v>#VALUE!</v>
      </c>
      <c r="AR68" s="82">
        <f t="shared" si="28"/>
        <v>48554.878103972194</v>
      </c>
      <c r="AS68" s="82" t="e">
        <f t="shared" si="28"/>
        <v>#VALUE!</v>
      </c>
      <c r="AT68" s="82">
        <f t="shared" si="28"/>
        <v>48778.004324611713</v>
      </c>
      <c r="AU68" s="82" t="e">
        <f t="shared" si="28"/>
        <v>#VALUE!</v>
      </c>
      <c r="AV68" s="82">
        <f t="shared" si="28"/>
        <v>50571.737862307549</v>
      </c>
      <c r="AW68" s="82" t="e">
        <f t="shared" si="28"/>
        <v>#VALUE!</v>
      </c>
      <c r="AX68" s="82">
        <f t="shared" si="28"/>
        <v>51148.676050033348</v>
      </c>
      <c r="AY68" s="82" t="e">
        <f t="shared" si="28"/>
        <v>#VALUE!</v>
      </c>
      <c r="AZ68" s="82">
        <f t="shared" si="28"/>
        <v>52349.92478688297</v>
      </c>
      <c r="BA68" s="82" t="e">
        <f t="shared" si="28"/>
        <v>#VALUE!</v>
      </c>
      <c r="BB68" s="82">
        <f t="shared" si="28"/>
        <v>51794.030607263681</v>
      </c>
      <c r="BC68" s="82" t="e">
        <f t="shared" si="28"/>
        <v>#VALUE!</v>
      </c>
      <c r="BD68" s="82">
        <f t="shared" si="28"/>
        <v>52543.858110823428</v>
      </c>
      <c r="BE68" s="82">
        <f t="shared" si="28"/>
        <v>50523.07389662772</v>
      </c>
      <c r="BF68" s="82">
        <f t="shared" si="28"/>
        <v>48561.822568724529</v>
      </c>
    </row>
    <row r="69" spans="2:60">
      <c r="B69" s="114" t="s">
        <v>612</v>
      </c>
      <c r="C69" s="127">
        <f>SAP!D170</f>
        <v>2.6626613724295352</v>
      </c>
      <c r="D69" s="131" t="str">
        <f>IF(IF(D$39&lt;=$C69,D$26,(((D$39-$C69)/SAP!$C$10)*'C&amp;B'!$D$13/SAP!$C$143)+D$26)&lt;=SAP!$D$151,IF(D$39&lt;=$C69,D$26,(((D$39-$C69)/SAP!$C$10)*'C&amp;B'!$D$13/SAP!$C$143)+D$26),"Not Possible")</f>
        <v>Not Possible</v>
      </c>
      <c r="E69" s="131" t="str">
        <f>IF(IF(E$39&lt;=$C69,E$26,(((E$39-$C69)/SAP!$C$10)*'C&amp;B'!$D$13/SAP!$C$143)+E$26)&lt;=SAP!$D$151,IF(E$39&lt;=$C69,E$26,(((E$39-$C69)/SAP!$C$10)*'C&amp;B'!$D$13/SAP!$C$143)+E$26),"Not Possible")</f>
        <v>Not Possible</v>
      </c>
      <c r="F69" s="131">
        <f>IF(IF(F$39&lt;=$C69,F$26,(((F$39-$C69)/SAP!$C$10)*'C&amp;B'!$D$13/SAP!$C$143)+F$26)&lt;=SAP!$D$151,IF(F$39&lt;=$C69,F$26,(((F$39-$C69)/SAP!$C$10)*'C&amp;B'!$D$13/SAP!$C$143)+F$26),"Not Possible")</f>
        <v>0.90184672528261112</v>
      </c>
      <c r="G69" s="131" t="str">
        <f>IF(IF(G$39&lt;=$C69,G$26,(((G$39-$C69)/SAP!$C$10)*'C&amp;B'!$D$13/SAP!$C$143)+G$26)&lt;=SAP!$D$151,IF(G$39&lt;=$C69,G$26,(((G$39-$C69)/SAP!$C$10)*'C&amp;B'!$D$13/SAP!$C$143)+G$26),"Not Possible")</f>
        <v>Not Possible</v>
      </c>
      <c r="H69" s="131">
        <f>IF(IF(H$39&lt;=$C69,H$26,(((H$39-$C69)/SAP!$C$10)*'C&amp;B'!$D$13/SAP!$C$143)+H$26)&lt;=SAP!$D$151,IF(H$39&lt;=$C69,H$26,(((H$39-$C69)/SAP!$C$10)*'C&amp;B'!$D$13/SAP!$C$143)+H$26),"Not Possible")</f>
        <v>0.91605709301513538</v>
      </c>
      <c r="I69" s="131" t="str">
        <f>IF(IF(I$39&lt;=$C69,I$26,(((I$39-$C69)/SAP!$C$10)*'C&amp;B'!$D$13/SAP!$C$143)+I$26)&lt;=SAP!$D$151,IF(I$39&lt;=$C69,I$26,(((I$39-$C69)/SAP!$C$10)*'C&amp;B'!$D$13/SAP!$C$143)+I$26),"Not Possible")</f>
        <v>Not Possible</v>
      </c>
      <c r="J69" s="131">
        <f>IF(IF(J$39&lt;=$C69,J$26,(((J$39-$C69)/SAP!$C$10)*'C&amp;B'!$D$13/SAP!$C$143)+J$26)&lt;=SAP!$D$151,IF(J$39&lt;=$C69,J$26,(((J$39-$C69)/SAP!$C$10)*'C&amp;B'!$D$13/SAP!$C$143)+J$26),"Not Possible")</f>
        <v>1.3799463225081947</v>
      </c>
      <c r="K69" s="131" t="str">
        <f>IF(IF(K$39&lt;=$C69,K$26,(((K$39-$C69)/SAP!$C$10)*'C&amp;B'!$D$13/SAP!$C$143)+K$26)&lt;=SAP!$D$151,IF(K$39&lt;=$C69,K$26,(((K$39-$C69)/SAP!$C$10)*'C&amp;B'!$D$13/SAP!$C$143)+K$26),"Not Possible")</f>
        <v>Not Possible</v>
      </c>
      <c r="L69" s="131">
        <f>IF(IF(L$39&lt;=$C69,L$26,(((L$39-$C69)/SAP!$C$10)*'C&amp;B'!$D$13/SAP!$C$143)+L$26)&lt;=SAP!$D$151,IF(L$39&lt;=$C69,L$26,(((L$39-$C69)/SAP!$C$10)*'C&amp;B'!$D$13/SAP!$C$143)+L$26),"Not Possible")</f>
        <v>1.2008433020512106</v>
      </c>
      <c r="M69" s="131" t="str">
        <f>IF(IF(M$39&lt;=$C69,M$26,(((M$39-$C69)/SAP!$C$10)*'C&amp;B'!$D$13/SAP!$C$143)+M$26)&lt;=SAP!$D$151,IF(M$39&lt;=$C69,M$26,(((M$39-$C69)/SAP!$C$10)*'C&amp;B'!$D$13/SAP!$C$143)+M$26),"Not Possible")</f>
        <v>Not Possible</v>
      </c>
      <c r="N69" s="131">
        <f>IF(IF(N$39&lt;=$C69,N$26,(((N$39-$C69)/SAP!$C$10)*'C&amp;B'!$D$13/SAP!$C$143)+N$26)&lt;=SAP!$D$151,IF(N$39&lt;=$C69,N$26,(((N$39-$C69)/SAP!$C$10)*'C&amp;B'!$D$13/SAP!$C$143)+N$26),"Not Possible")</f>
        <v>1.0609245301339016</v>
      </c>
      <c r="O69" s="131" t="str">
        <f>IF(IF(O$39&lt;=$C69,O$26,(((O$39-$C69)/SAP!$C$10)*'C&amp;B'!$D$13/SAP!$C$143)+O$26)&lt;=SAP!$D$151,IF(O$39&lt;=$C69,O$26,(((O$39-$C69)/SAP!$C$10)*'C&amp;B'!$D$13/SAP!$C$143)+O$26),"Not Possible")</f>
        <v>Not Possible</v>
      </c>
      <c r="P69" s="131">
        <f>IF(IF(P$39&lt;=$C69,P$26,(((P$39-$C69)/SAP!$C$10)*'C&amp;B'!$D$13/SAP!$C$143)+P$26)&lt;=SAP!$D$151,IF(P$39&lt;=$C69,P$26,(((P$39-$C69)/SAP!$C$10)*'C&amp;B'!$D$13/SAP!$C$143)+P$26),"Not Possible")</f>
        <v>0.91443423076842267</v>
      </c>
      <c r="Q69" s="131" t="str">
        <f>IF(IF(Q$39&lt;=$C69,Q$26,(((Q$39-$C69)/SAP!$C$10)*'C&amp;B'!$D$13/SAP!$C$143)+Q$26)&lt;=SAP!$D$151,IF(Q$39&lt;=$C69,Q$26,(((Q$39-$C69)/SAP!$C$10)*'C&amp;B'!$D$13/SAP!$C$143)+Q$26),"Not Possible")</f>
        <v>Not Possible</v>
      </c>
      <c r="R69" s="131">
        <f>IF(IF(R$39&lt;=$C69,R$26,(((R$39-$C69)/SAP!$C$10)*'C&amp;B'!$D$13/SAP!$C$143)+R$26)&lt;=SAP!$D$151,IF(R$39&lt;=$C69,R$26,(((R$39-$C69)/SAP!$C$10)*'C&amp;B'!$D$13/SAP!$C$143)+R$26),"Not Possible")</f>
        <v>0.7961467367013435</v>
      </c>
      <c r="S69" s="131">
        <f>IF(IF(S$39&lt;=$C69,S$26,(((S$39-$C69)/SAP!$C$10)*'C&amp;B'!$D$13/SAP!$C$143)+S$26)&lt;=SAP!$D$151,IF(S$39&lt;=$C69,S$26,(((S$39-$C69)/SAP!$C$10)*'C&amp;B'!$D$13/SAP!$C$143)+S$26),"Not Possible")</f>
        <v>0.90450637970849279</v>
      </c>
      <c r="T69" s="131">
        <f>IF(IF(T$39&lt;=$C69,T$26,(((T$39-$C69)/SAP!$C$10)*'C&amp;B'!$D$13/SAP!$C$143)+T$26)&lt;=SAP!$D$151,IF(T$39&lt;=$C69,T$26,(((T$39-$C69)/SAP!$C$10)*'C&amp;B'!$D$13/SAP!$C$143)+T$26),"Not Possible")</f>
        <v>0.91342083320316325</v>
      </c>
      <c r="V69" s="130" t="s">
        <v>612</v>
      </c>
      <c r="W69" s="82" t="e">
        <f>IF(D69=0,0,IF(D69&lt;4,'C&amp;B'!$E$316+(D69*'C&amp;B'!$E$317),D69*'C&amp;B'!$E$318))</f>
        <v>#VALUE!</v>
      </c>
      <c r="X69" s="82" t="e">
        <f>IF(E69=0,0,IF(E69&lt;4,'C&amp;B'!$E$316+(E69*'C&amp;B'!$E$317),E69*'C&amp;B'!$E$318))</f>
        <v>#VALUE!</v>
      </c>
      <c r="Y69" s="82">
        <f>IF(F69=0,0,IF(F69&lt;4,'C&amp;B'!$E$316+(F69*'C&amp;B'!$E$317),F69*'C&amp;B'!$E$318))</f>
        <v>1641.1080351695666</v>
      </c>
      <c r="Z69" s="82" t="e">
        <f>IF(G69=0,0,IF(G69&lt;4,'C&amp;B'!$E$316+(G69*'C&amp;B'!$E$317),G69*'C&amp;B'!$E$318))</f>
        <v>#VALUE!</v>
      </c>
      <c r="AA69" s="82">
        <f>IF(H69=0,0,IF(H69&lt;4,'C&amp;B'!$E$316+(H69*'C&amp;B'!$E$317),H69*'C&amp;B'!$E$318))</f>
        <v>1649.6342558090812</v>
      </c>
      <c r="AB69" s="82" t="e">
        <f>IF(I69=0,0,IF(I69&lt;4,'C&amp;B'!$E$316+(I69*'C&amp;B'!$E$317),I69*'C&amp;B'!$E$318))</f>
        <v>#VALUE!</v>
      </c>
      <c r="AC69" s="82">
        <f>IF(J69=0,0,IF(J69&lt;4,'C&amp;B'!$E$316+(J69*'C&amp;B'!$E$317),J69*'C&amp;B'!$E$318))</f>
        <v>1927.9677935049167</v>
      </c>
      <c r="AD69" s="82" t="e">
        <f>IF(K69=0,0,IF(K69&lt;4,'C&amp;B'!$E$316+(K69*'C&amp;B'!$E$317),K69*'C&amp;B'!$E$318))</f>
        <v>#VALUE!</v>
      </c>
      <c r="AE69" s="82">
        <f>IF(L69=0,0,IF(L69&lt;4,'C&amp;B'!$E$316+(L69*'C&amp;B'!$E$317),L69*'C&amp;B'!$E$318))</f>
        <v>1820.5059812307263</v>
      </c>
      <c r="AF69" s="82" t="e">
        <f>IF(M69=0,0,IF(M69&lt;4,'C&amp;B'!$E$316+(M69*'C&amp;B'!$E$317),M69*'C&amp;B'!$E$318))</f>
        <v>#VALUE!</v>
      </c>
      <c r="AG69" s="82">
        <f>IF(N69=0,0,IF(N69&lt;4,'C&amp;B'!$E$316+(N69*'C&amp;B'!$E$317),N69*'C&amp;B'!$E$318))</f>
        <v>1736.554718080341</v>
      </c>
      <c r="AH69" s="82" t="e">
        <f>IF(O69=0,0,IF(O69&lt;4,'C&amp;B'!$E$316+(O69*'C&amp;B'!$E$317),O69*'C&amp;B'!$E$318))</f>
        <v>#VALUE!</v>
      </c>
      <c r="AI69" s="82">
        <f>IF(P69=0,0,IF(P69&lt;4,'C&amp;B'!$E$316+(P69*'C&amp;B'!$E$317),P69*'C&amp;B'!$E$318))</f>
        <v>1648.6605384610536</v>
      </c>
      <c r="AJ69" s="82" t="e">
        <f>IF(Q69=0,0,IF(Q69&lt;4,'C&amp;B'!$E$316+(Q69*'C&amp;B'!$E$317),Q69*'C&amp;B'!$E$318))</f>
        <v>#VALUE!</v>
      </c>
      <c r="AK69" s="82">
        <f>IF(R69=0,0,IF(R69&lt;4,'C&amp;B'!$E$316+(R69*'C&amp;B'!$E$317),R69*'C&amp;B'!$E$318))</f>
        <v>1577.6880420208061</v>
      </c>
      <c r="AL69" s="82">
        <f>IF(S69=0,0,IF(S69&lt;4,'C&amp;B'!$E$316+(S69*'C&amp;B'!$E$317),S69*'C&amp;B'!$E$318))</f>
        <v>1642.7038278250957</v>
      </c>
      <c r="AM69" s="82">
        <f>IF(T69=0,0,IF(T69&lt;4,'C&amp;B'!$E$316+(T69*'C&amp;B'!$E$317),T69*'C&amp;B'!$E$318))</f>
        <v>1648.0524999218978</v>
      </c>
      <c r="AO69" s="130" t="s">
        <v>612</v>
      </c>
      <c r="AP69" s="82" t="e">
        <f t="shared" si="29"/>
        <v>#VALUE!</v>
      </c>
      <c r="AQ69" s="82" t="e">
        <f t="shared" si="28"/>
        <v>#VALUE!</v>
      </c>
      <c r="AR69" s="82">
        <f t="shared" si="28"/>
        <v>48711.108035169564</v>
      </c>
      <c r="AS69" s="82" t="e">
        <f t="shared" si="28"/>
        <v>#VALUE!</v>
      </c>
      <c r="AT69" s="82">
        <f t="shared" si="28"/>
        <v>48934.234255809082</v>
      </c>
      <c r="AU69" s="82" t="e">
        <f t="shared" si="28"/>
        <v>#VALUE!</v>
      </c>
      <c r="AV69" s="82">
        <f t="shared" si="28"/>
        <v>50727.967793504919</v>
      </c>
      <c r="AW69" s="82" t="e">
        <f t="shared" si="28"/>
        <v>#VALUE!</v>
      </c>
      <c r="AX69" s="82">
        <f t="shared" si="28"/>
        <v>51304.905981230724</v>
      </c>
      <c r="AY69" s="82" t="e">
        <f t="shared" si="28"/>
        <v>#VALUE!</v>
      </c>
      <c r="AZ69" s="82">
        <f t="shared" si="28"/>
        <v>52506.154718080339</v>
      </c>
      <c r="BA69" s="82" t="e">
        <f t="shared" si="28"/>
        <v>#VALUE!</v>
      </c>
      <c r="BB69" s="82">
        <f t="shared" si="28"/>
        <v>51950.260538461051</v>
      </c>
      <c r="BC69" s="82" t="e">
        <f t="shared" si="28"/>
        <v>#VALUE!</v>
      </c>
      <c r="BD69" s="82">
        <f t="shared" si="28"/>
        <v>52700.088042020798</v>
      </c>
      <c r="BE69" s="82">
        <f t="shared" si="28"/>
        <v>50679.303827825097</v>
      </c>
      <c r="BF69" s="82">
        <f t="shared" si="28"/>
        <v>48718.052499921898</v>
      </c>
    </row>
    <row r="70" spans="2:60">
      <c r="B70" s="114" t="s">
        <v>613</v>
      </c>
      <c r="C70" s="127">
        <f>SAP!D171</f>
        <v>2.2822811763681732</v>
      </c>
      <c r="D70" s="131" t="str">
        <f>IF(IF(D$39&lt;=$C70,D$26,(((D$39-$C70)/SAP!$C$10)*'C&amp;B'!$D$13/SAP!$C$143)+D$26)&lt;=SAP!$D$151,IF(D$39&lt;=$C70,D$26,(((D$39-$C70)/SAP!$C$10)*'C&amp;B'!$D$13/SAP!$C$143)+D$26),"Not Possible")</f>
        <v>Not Possible</v>
      </c>
      <c r="E70" s="131" t="str">
        <f>IF(IF(E$39&lt;=$C70,E$26,(((E$39-$C70)/SAP!$C$10)*'C&amp;B'!$D$13/SAP!$C$143)+E$26)&lt;=SAP!$D$151,IF(E$39&lt;=$C70,E$26,(((E$39-$C70)/SAP!$C$10)*'C&amp;B'!$D$13/SAP!$C$143)+E$26),"Not Possible")</f>
        <v>Not Possible</v>
      </c>
      <c r="F70" s="131">
        <f>IF(IF(F$39&lt;=$C70,F$26,(((F$39-$C70)/SAP!$C$10)*'C&amp;B'!$D$13/SAP!$C$143)+F$26)&lt;=SAP!$D$151,IF(F$39&lt;=$C70,F$26,(((F$39-$C70)/SAP!$C$10)*'C&amp;B'!$D$13/SAP!$C$143)+F$26),"Not Possible")</f>
        <v>1.1622299439448949</v>
      </c>
      <c r="G70" s="131" t="str">
        <f>IF(IF(G$39&lt;=$C70,G$26,(((G$39-$C70)/SAP!$C$10)*'C&amp;B'!$D$13/SAP!$C$143)+G$26)&lt;=SAP!$D$151,IF(G$39&lt;=$C70,G$26,(((G$39-$C70)/SAP!$C$10)*'C&amp;B'!$D$13/SAP!$C$143)+G$26),"Not Possible")</f>
        <v>Not Possible</v>
      </c>
      <c r="H70" s="131">
        <f>IF(IF(H$39&lt;=$C70,H$26,(((H$39-$C70)/SAP!$C$10)*'C&amp;B'!$D$13/SAP!$C$143)+H$26)&lt;=SAP!$D$151,IF(H$39&lt;=$C70,H$26,(((H$39-$C70)/SAP!$C$10)*'C&amp;B'!$D$13/SAP!$C$143)+H$26),"Not Possible")</f>
        <v>1.1764403116774189</v>
      </c>
      <c r="I70" s="131" t="str">
        <f>IF(IF(I$39&lt;=$C70,I$26,(((I$39-$C70)/SAP!$C$10)*'C&amp;B'!$D$13/SAP!$C$143)+I$26)&lt;=SAP!$D$151,IF(I$39&lt;=$C70,I$26,(((I$39-$C70)/SAP!$C$10)*'C&amp;B'!$D$13/SAP!$C$143)+I$26),"Not Possible")</f>
        <v>Not Possible</v>
      </c>
      <c r="J70" s="131">
        <f>IF(IF(J$39&lt;=$C70,J$26,(((J$39-$C70)/SAP!$C$10)*'C&amp;B'!$D$13/SAP!$C$143)+J$26)&lt;=SAP!$D$151,IF(J$39&lt;=$C70,J$26,(((J$39-$C70)/SAP!$C$10)*'C&amp;B'!$D$13/SAP!$C$143)+J$26),"Not Possible")</f>
        <v>1.6403295411704784</v>
      </c>
      <c r="K70" s="131" t="str">
        <f>IF(IF(K$39&lt;=$C70,K$26,(((K$39-$C70)/SAP!$C$10)*'C&amp;B'!$D$13/SAP!$C$143)+K$26)&lt;=SAP!$D$151,IF(K$39&lt;=$C70,K$26,(((K$39-$C70)/SAP!$C$10)*'C&amp;B'!$D$13/SAP!$C$143)+K$26),"Not Possible")</f>
        <v>Not Possible</v>
      </c>
      <c r="L70" s="131">
        <f>IF(IF(L$39&lt;=$C70,L$26,(((L$39-$C70)/SAP!$C$10)*'C&amp;B'!$D$13/SAP!$C$143)+L$26)&lt;=SAP!$D$151,IF(L$39&lt;=$C70,L$26,(((L$39-$C70)/SAP!$C$10)*'C&amp;B'!$D$13/SAP!$C$143)+L$26),"Not Possible")</f>
        <v>1.4612265207134942</v>
      </c>
      <c r="M70" s="131" t="str">
        <f>IF(IF(M$39&lt;=$C70,M$26,(((M$39-$C70)/SAP!$C$10)*'C&amp;B'!$D$13/SAP!$C$143)+M$26)&lt;=SAP!$D$151,IF(M$39&lt;=$C70,M$26,(((M$39-$C70)/SAP!$C$10)*'C&amp;B'!$D$13/SAP!$C$143)+M$26),"Not Possible")</f>
        <v>Not Possible</v>
      </c>
      <c r="N70" s="131">
        <f>IF(IF(N$39&lt;=$C70,N$26,(((N$39-$C70)/SAP!$C$10)*'C&amp;B'!$D$13/SAP!$C$143)+N$26)&lt;=SAP!$D$151,IF(N$39&lt;=$C70,N$26,(((N$39-$C70)/SAP!$C$10)*'C&amp;B'!$D$13/SAP!$C$143)+N$26),"Not Possible")</f>
        <v>1.3213077487961855</v>
      </c>
      <c r="O70" s="131" t="str">
        <f>IF(IF(O$39&lt;=$C70,O$26,(((O$39-$C70)/SAP!$C$10)*'C&amp;B'!$D$13/SAP!$C$143)+O$26)&lt;=SAP!$D$151,IF(O$39&lt;=$C70,O$26,(((O$39-$C70)/SAP!$C$10)*'C&amp;B'!$D$13/SAP!$C$143)+O$26),"Not Possible")</f>
        <v>Not Possible</v>
      </c>
      <c r="P70" s="131">
        <f>IF(IF(P$39&lt;=$C70,P$26,(((P$39-$C70)/SAP!$C$10)*'C&amp;B'!$D$13/SAP!$C$143)+P$26)&lt;=SAP!$D$151,IF(P$39&lt;=$C70,P$26,(((P$39-$C70)/SAP!$C$10)*'C&amp;B'!$D$13/SAP!$C$143)+P$26),"Not Possible")</f>
        <v>1.1748174494307062</v>
      </c>
      <c r="Q70" s="131" t="str">
        <f>IF(IF(Q$39&lt;=$C70,Q$26,(((Q$39-$C70)/SAP!$C$10)*'C&amp;B'!$D$13/SAP!$C$143)+Q$26)&lt;=SAP!$D$151,IF(Q$39&lt;=$C70,Q$26,(((Q$39-$C70)/SAP!$C$10)*'C&amp;B'!$D$13/SAP!$C$143)+Q$26),"Not Possible")</f>
        <v>Not Possible</v>
      </c>
      <c r="R70" s="131">
        <f>IF(IF(R$39&lt;=$C70,R$26,(((R$39-$C70)/SAP!$C$10)*'C&amp;B'!$D$13/SAP!$C$143)+R$26)&lt;=SAP!$D$151,IF(R$39&lt;=$C70,R$26,(((R$39-$C70)/SAP!$C$10)*'C&amp;B'!$D$13/SAP!$C$143)+R$26),"Not Possible")</f>
        <v>1.0565299553636271</v>
      </c>
      <c r="S70" s="131">
        <f>IF(IF(S$39&lt;=$C70,S$26,(((S$39-$C70)/SAP!$C$10)*'C&amp;B'!$D$13/SAP!$C$143)+S$26)&lt;=SAP!$D$151,IF(S$39&lt;=$C70,S$26,(((S$39-$C70)/SAP!$C$10)*'C&amp;B'!$D$13/SAP!$C$143)+S$26),"Not Possible")</f>
        <v>1.1648895983707763</v>
      </c>
      <c r="T70" s="131">
        <f>IF(IF(T$39&lt;=$C70,T$26,(((T$39-$C70)/SAP!$C$10)*'C&amp;B'!$D$13/SAP!$C$143)+T$26)&lt;=SAP!$D$151,IF(T$39&lt;=$C70,T$26,(((T$39-$C70)/SAP!$C$10)*'C&amp;B'!$D$13/SAP!$C$143)+T$26),"Not Possible")</f>
        <v>1.1738040518654469</v>
      </c>
      <c r="V70" s="130" t="s">
        <v>613</v>
      </c>
      <c r="W70" s="82" t="e">
        <f>IF(D70=0,0,IF(D70&lt;4,'C&amp;B'!$E$316+(D70*'C&amp;B'!$E$317),D70*'C&amp;B'!$E$318))</f>
        <v>#VALUE!</v>
      </c>
      <c r="X70" s="82" t="e">
        <f>IF(E70=0,0,IF(E70&lt;4,'C&amp;B'!$E$316+(E70*'C&amp;B'!$E$317),E70*'C&amp;B'!$E$318))</f>
        <v>#VALUE!</v>
      </c>
      <c r="Y70" s="82">
        <f>IF(F70=0,0,IF(F70&lt;4,'C&amp;B'!$E$316+(F70*'C&amp;B'!$E$317),F70*'C&amp;B'!$E$318))</f>
        <v>1797.3379663669371</v>
      </c>
      <c r="Z70" s="82" t="e">
        <f>IF(G70=0,0,IF(G70&lt;4,'C&amp;B'!$E$316+(G70*'C&amp;B'!$E$317),G70*'C&amp;B'!$E$318))</f>
        <v>#VALUE!</v>
      </c>
      <c r="AA70" s="82">
        <f>IF(H70=0,0,IF(H70&lt;4,'C&amp;B'!$E$316+(H70*'C&amp;B'!$E$317),H70*'C&amp;B'!$E$318))</f>
        <v>1805.8641870064514</v>
      </c>
      <c r="AB70" s="82" t="e">
        <f>IF(I70=0,0,IF(I70&lt;4,'C&amp;B'!$E$316+(I70*'C&amp;B'!$E$317),I70*'C&amp;B'!$E$318))</f>
        <v>#VALUE!</v>
      </c>
      <c r="AC70" s="82">
        <f>IF(J70=0,0,IF(J70&lt;4,'C&amp;B'!$E$316+(J70*'C&amp;B'!$E$317),J70*'C&amp;B'!$E$318))</f>
        <v>2084.1977247022869</v>
      </c>
      <c r="AD70" s="82" t="e">
        <f>IF(K70=0,0,IF(K70&lt;4,'C&amp;B'!$E$316+(K70*'C&amp;B'!$E$317),K70*'C&amp;B'!$E$318))</f>
        <v>#VALUE!</v>
      </c>
      <c r="AE70" s="82">
        <f>IF(L70=0,0,IF(L70&lt;4,'C&amp;B'!$E$316+(L70*'C&amp;B'!$E$317),L70*'C&amp;B'!$E$318))</f>
        <v>1976.7359124280965</v>
      </c>
      <c r="AF70" s="82" t="e">
        <f>IF(M70=0,0,IF(M70&lt;4,'C&amp;B'!$E$316+(M70*'C&amp;B'!$E$317),M70*'C&amp;B'!$E$318))</f>
        <v>#VALUE!</v>
      </c>
      <c r="AG70" s="82">
        <f>IF(N70=0,0,IF(N70&lt;4,'C&amp;B'!$E$316+(N70*'C&amp;B'!$E$317),N70*'C&amp;B'!$E$318))</f>
        <v>1892.7846492777112</v>
      </c>
      <c r="AH70" s="82" t="e">
        <f>IF(O70=0,0,IF(O70&lt;4,'C&amp;B'!$E$316+(O70*'C&amp;B'!$E$317),O70*'C&amp;B'!$E$318))</f>
        <v>#VALUE!</v>
      </c>
      <c r="AI70" s="82">
        <f>IF(P70=0,0,IF(P70&lt;4,'C&amp;B'!$E$316+(P70*'C&amp;B'!$E$317),P70*'C&amp;B'!$E$318))</f>
        <v>1804.8904696584236</v>
      </c>
      <c r="AJ70" s="82" t="e">
        <f>IF(Q70=0,0,IF(Q70&lt;4,'C&amp;B'!$E$316+(Q70*'C&amp;B'!$E$317),Q70*'C&amp;B'!$E$318))</f>
        <v>#VALUE!</v>
      </c>
      <c r="AK70" s="82">
        <f>IF(R70=0,0,IF(R70&lt;4,'C&amp;B'!$E$316+(R70*'C&amp;B'!$E$317),R70*'C&amp;B'!$E$318))</f>
        <v>1733.9179732181763</v>
      </c>
      <c r="AL70" s="82">
        <f>IF(S70=0,0,IF(S70&lt;4,'C&amp;B'!$E$316+(S70*'C&amp;B'!$E$317),S70*'C&amp;B'!$E$318))</f>
        <v>1798.9337590224659</v>
      </c>
      <c r="AM70" s="82">
        <f>IF(T70=0,0,IF(T70&lt;4,'C&amp;B'!$E$316+(T70*'C&amp;B'!$E$317),T70*'C&amp;B'!$E$318))</f>
        <v>1804.282431119268</v>
      </c>
      <c r="AO70" s="130" t="s">
        <v>613</v>
      </c>
      <c r="AP70" s="82" t="e">
        <f t="shared" si="29"/>
        <v>#VALUE!</v>
      </c>
      <c r="AQ70" s="82" t="e">
        <f t="shared" si="28"/>
        <v>#VALUE!</v>
      </c>
      <c r="AR70" s="82">
        <f t="shared" si="28"/>
        <v>48867.33796636694</v>
      </c>
      <c r="AS70" s="82" t="e">
        <f t="shared" si="28"/>
        <v>#VALUE!</v>
      </c>
      <c r="AT70" s="82">
        <f t="shared" si="28"/>
        <v>49090.464187006452</v>
      </c>
      <c r="AU70" s="82" t="e">
        <f t="shared" si="28"/>
        <v>#VALUE!</v>
      </c>
      <c r="AV70" s="82">
        <f t="shared" si="28"/>
        <v>50884.197724702288</v>
      </c>
      <c r="AW70" s="82" t="e">
        <f t="shared" si="28"/>
        <v>#VALUE!</v>
      </c>
      <c r="AX70" s="82">
        <f t="shared" si="28"/>
        <v>51461.135912428093</v>
      </c>
      <c r="AY70" s="82" t="e">
        <f t="shared" si="28"/>
        <v>#VALUE!</v>
      </c>
      <c r="AZ70" s="82">
        <f t="shared" si="28"/>
        <v>52662.384649277708</v>
      </c>
      <c r="BA70" s="82" t="e">
        <f t="shared" si="28"/>
        <v>#VALUE!</v>
      </c>
      <c r="BB70" s="82">
        <f t="shared" si="28"/>
        <v>52106.49046965842</v>
      </c>
      <c r="BC70" s="82" t="e">
        <f t="shared" si="28"/>
        <v>#VALUE!</v>
      </c>
      <c r="BD70" s="82">
        <f t="shared" si="28"/>
        <v>52856.317973218167</v>
      </c>
      <c r="BE70" s="82">
        <f t="shared" si="28"/>
        <v>50835.533759022466</v>
      </c>
      <c r="BF70" s="82">
        <f t="shared" si="28"/>
        <v>48874.282431119267</v>
      </c>
    </row>
    <row r="71" spans="2:60">
      <c r="B71" s="114" t="s">
        <v>614</v>
      </c>
      <c r="C71" s="127">
        <f>SAP!D172</f>
        <v>1.901900980306811</v>
      </c>
      <c r="D71" s="131" t="str">
        <f>IF(IF(D$39&lt;=$C71,D$26,(((D$39-$C71)/SAP!$C$10)*'C&amp;B'!$D$13/SAP!$C$143)+D$26)&lt;=SAP!$D$151,IF(D$39&lt;=$C71,D$26,(((D$39-$C71)/SAP!$C$10)*'C&amp;B'!$D$13/SAP!$C$143)+D$26),"Not Possible")</f>
        <v>Not Possible</v>
      </c>
      <c r="E71" s="131" t="str">
        <f>IF(IF(E$39&lt;=$C71,E$26,(((E$39-$C71)/SAP!$C$10)*'C&amp;B'!$D$13/SAP!$C$143)+E$26)&lt;=SAP!$D$151,IF(E$39&lt;=$C71,E$26,(((E$39-$C71)/SAP!$C$10)*'C&amp;B'!$D$13/SAP!$C$143)+E$26),"Not Possible")</f>
        <v>Not Possible</v>
      </c>
      <c r="F71" s="131">
        <f>IF(IF(F$39&lt;=$C71,F$26,(((F$39-$C71)/SAP!$C$10)*'C&amp;B'!$D$13/SAP!$C$143)+F$26)&lt;=SAP!$D$151,IF(F$39&lt;=$C71,F$26,(((F$39-$C71)/SAP!$C$10)*'C&amp;B'!$D$13/SAP!$C$143)+F$26),"Not Possible")</f>
        <v>1.422613162607179</v>
      </c>
      <c r="G71" s="131" t="str">
        <f>IF(IF(G$39&lt;=$C71,G$26,(((G$39-$C71)/SAP!$C$10)*'C&amp;B'!$D$13/SAP!$C$143)+G$26)&lt;=SAP!$D$151,IF(G$39&lt;=$C71,G$26,(((G$39-$C71)/SAP!$C$10)*'C&amp;B'!$D$13/SAP!$C$143)+G$26),"Not Possible")</f>
        <v>Not Possible</v>
      </c>
      <c r="H71" s="131">
        <f>IF(IF(H$39&lt;=$C71,H$26,(((H$39-$C71)/SAP!$C$10)*'C&amp;B'!$D$13/SAP!$C$143)+H$26)&lt;=SAP!$D$151,IF(H$39&lt;=$C71,H$26,(((H$39-$C71)/SAP!$C$10)*'C&amp;B'!$D$13/SAP!$C$143)+H$26),"Not Possible")</f>
        <v>1.4368235303397026</v>
      </c>
      <c r="I71" s="131" t="str">
        <f>IF(IF(I$39&lt;=$C71,I$26,(((I$39-$C71)/SAP!$C$10)*'C&amp;B'!$D$13/SAP!$C$143)+I$26)&lt;=SAP!$D$151,IF(I$39&lt;=$C71,I$26,(((I$39-$C71)/SAP!$C$10)*'C&amp;B'!$D$13/SAP!$C$143)+I$26),"Not Possible")</f>
        <v>Not Possible</v>
      </c>
      <c r="J71" s="131">
        <f>IF(IF(J$39&lt;=$C71,J$26,(((J$39-$C71)/SAP!$C$10)*'C&amp;B'!$D$13/SAP!$C$143)+J$26)&lt;=SAP!$D$151,IF(J$39&lt;=$C71,J$26,(((J$39-$C71)/SAP!$C$10)*'C&amp;B'!$D$13/SAP!$C$143)+J$26),"Not Possible")</f>
        <v>1.9007127598327622</v>
      </c>
      <c r="K71" s="131" t="str">
        <f>IF(IF(K$39&lt;=$C71,K$26,(((K$39-$C71)/SAP!$C$10)*'C&amp;B'!$D$13/SAP!$C$143)+K$26)&lt;=SAP!$D$151,IF(K$39&lt;=$C71,K$26,(((K$39-$C71)/SAP!$C$10)*'C&amp;B'!$D$13/SAP!$C$143)+K$26),"Not Possible")</f>
        <v>Not Possible</v>
      </c>
      <c r="L71" s="131">
        <f>IF(IF(L$39&lt;=$C71,L$26,(((L$39-$C71)/SAP!$C$10)*'C&amp;B'!$D$13/SAP!$C$143)+L$26)&lt;=SAP!$D$151,IF(L$39&lt;=$C71,L$26,(((L$39-$C71)/SAP!$C$10)*'C&amp;B'!$D$13/SAP!$C$143)+L$26),"Not Possible")</f>
        <v>1.7216097393757781</v>
      </c>
      <c r="M71" s="131" t="str">
        <f>IF(IF(M$39&lt;=$C71,M$26,(((M$39-$C71)/SAP!$C$10)*'C&amp;B'!$D$13/SAP!$C$143)+M$26)&lt;=SAP!$D$151,IF(M$39&lt;=$C71,M$26,(((M$39-$C71)/SAP!$C$10)*'C&amp;B'!$D$13/SAP!$C$143)+M$26),"Not Possible")</f>
        <v>Not Possible</v>
      </c>
      <c r="N71" s="131">
        <f>IF(IF(N$39&lt;=$C71,N$26,(((N$39-$C71)/SAP!$C$10)*'C&amp;B'!$D$13/SAP!$C$143)+N$26)&lt;=SAP!$D$151,IF(N$39&lt;=$C71,N$26,(((N$39-$C71)/SAP!$C$10)*'C&amp;B'!$D$13/SAP!$C$143)+N$26),"Not Possible")</f>
        <v>1.5816909674584692</v>
      </c>
      <c r="O71" s="131" t="str">
        <f>IF(IF(O$39&lt;=$C71,O$26,(((O$39-$C71)/SAP!$C$10)*'C&amp;B'!$D$13/SAP!$C$143)+O$26)&lt;=SAP!$D$151,IF(O$39&lt;=$C71,O$26,(((O$39-$C71)/SAP!$C$10)*'C&amp;B'!$D$13/SAP!$C$143)+O$26),"Not Possible")</f>
        <v>Not Possible</v>
      </c>
      <c r="P71" s="131">
        <f>IF(IF(P$39&lt;=$C71,P$26,(((P$39-$C71)/SAP!$C$10)*'C&amp;B'!$D$13/SAP!$C$143)+P$26)&lt;=SAP!$D$151,IF(P$39&lt;=$C71,P$26,(((P$39-$C71)/SAP!$C$10)*'C&amp;B'!$D$13/SAP!$C$143)+P$26),"Not Possible")</f>
        <v>1.4352006680929899</v>
      </c>
      <c r="Q71" s="131" t="str">
        <f>IF(IF(Q$39&lt;=$C71,Q$26,(((Q$39-$C71)/SAP!$C$10)*'C&amp;B'!$D$13/SAP!$C$143)+Q$26)&lt;=SAP!$D$151,IF(Q$39&lt;=$C71,Q$26,(((Q$39-$C71)/SAP!$C$10)*'C&amp;B'!$D$13/SAP!$C$143)+Q$26),"Not Possible")</f>
        <v>Not Possible</v>
      </c>
      <c r="R71" s="131">
        <f>IF(IF(R$39&lt;=$C71,R$26,(((R$39-$C71)/SAP!$C$10)*'C&amp;B'!$D$13/SAP!$C$143)+R$26)&lt;=SAP!$D$151,IF(R$39&lt;=$C71,R$26,(((R$39-$C71)/SAP!$C$10)*'C&amp;B'!$D$13/SAP!$C$143)+R$26),"Not Possible")</f>
        <v>1.316913174025911</v>
      </c>
      <c r="S71" s="131">
        <f>IF(IF(S$39&lt;=$C71,S$26,(((S$39-$C71)/SAP!$C$10)*'C&amp;B'!$D$13/SAP!$C$143)+S$26)&lt;=SAP!$D$151,IF(S$39&lt;=$C71,S$26,(((S$39-$C71)/SAP!$C$10)*'C&amp;B'!$D$13/SAP!$C$143)+S$26),"Not Possible")</f>
        <v>1.42527281703306</v>
      </c>
      <c r="T71" s="131">
        <f>IF(IF(T$39&lt;=$C71,T$26,(((T$39-$C71)/SAP!$C$10)*'C&amp;B'!$D$13/SAP!$C$143)+T$26)&lt;=SAP!$D$151,IF(T$39&lt;=$C71,T$26,(((T$39-$C71)/SAP!$C$10)*'C&amp;B'!$D$13/SAP!$C$143)+T$26),"Not Possible")</f>
        <v>1.434187270527731</v>
      </c>
      <c r="V71" s="130" t="s">
        <v>614</v>
      </c>
      <c r="W71" s="82" t="e">
        <f>IF(D71=0,0,IF(D71&lt;4,'C&amp;B'!$E$316+(D71*'C&amp;B'!$E$317),D71*'C&amp;B'!$E$318))</f>
        <v>#VALUE!</v>
      </c>
      <c r="X71" s="82" t="e">
        <f>IF(E71=0,0,IF(E71&lt;4,'C&amp;B'!$E$316+(E71*'C&amp;B'!$E$317),E71*'C&amp;B'!$E$318))</f>
        <v>#VALUE!</v>
      </c>
      <c r="Y71" s="82">
        <f>IF(F71=0,0,IF(F71&lt;4,'C&amp;B'!$E$316+(F71*'C&amp;B'!$E$317),F71*'C&amp;B'!$E$318))</f>
        <v>1953.5678975643073</v>
      </c>
      <c r="Z71" s="82" t="e">
        <f>IF(G71=0,0,IF(G71&lt;4,'C&amp;B'!$E$316+(G71*'C&amp;B'!$E$317),G71*'C&amp;B'!$E$318))</f>
        <v>#VALUE!</v>
      </c>
      <c r="AA71" s="82">
        <f>IF(H71=0,0,IF(H71&lt;4,'C&amp;B'!$E$316+(H71*'C&amp;B'!$E$317),H71*'C&amp;B'!$E$318))</f>
        <v>1962.0941182038214</v>
      </c>
      <c r="AB71" s="82" t="e">
        <f>IF(I71=0,0,IF(I71&lt;4,'C&amp;B'!$E$316+(I71*'C&amp;B'!$E$317),I71*'C&amp;B'!$E$318))</f>
        <v>#VALUE!</v>
      </c>
      <c r="AC71" s="82">
        <f>IF(J71=0,0,IF(J71&lt;4,'C&amp;B'!$E$316+(J71*'C&amp;B'!$E$317),J71*'C&amp;B'!$E$318))</f>
        <v>2240.4276558996571</v>
      </c>
      <c r="AD71" s="82" t="e">
        <f>IF(K71=0,0,IF(K71&lt;4,'C&amp;B'!$E$316+(K71*'C&amp;B'!$E$317),K71*'C&amp;B'!$E$318))</f>
        <v>#VALUE!</v>
      </c>
      <c r="AE71" s="82">
        <f>IF(L71=0,0,IF(L71&lt;4,'C&amp;B'!$E$316+(L71*'C&amp;B'!$E$317),L71*'C&amp;B'!$E$318))</f>
        <v>2132.9658436254667</v>
      </c>
      <c r="AF71" s="82" t="e">
        <f>IF(M71=0,0,IF(M71&lt;4,'C&amp;B'!$E$316+(M71*'C&amp;B'!$E$317),M71*'C&amp;B'!$E$318))</f>
        <v>#VALUE!</v>
      </c>
      <c r="AG71" s="82">
        <f>IF(N71=0,0,IF(N71&lt;4,'C&amp;B'!$E$316+(N71*'C&amp;B'!$E$317),N71*'C&amp;B'!$E$318))</f>
        <v>2049.0145804750814</v>
      </c>
      <c r="AH71" s="82" t="e">
        <f>IF(O71=0,0,IF(O71&lt;4,'C&amp;B'!$E$316+(O71*'C&amp;B'!$E$317),O71*'C&amp;B'!$E$318))</f>
        <v>#VALUE!</v>
      </c>
      <c r="AI71" s="82">
        <f>IF(P71=0,0,IF(P71&lt;4,'C&amp;B'!$E$316+(P71*'C&amp;B'!$E$317),P71*'C&amp;B'!$E$318))</f>
        <v>1961.1204008557938</v>
      </c>
      <c r="AJ71" s="82" t="e">
        <f>IF(Q71=0,0,IF(Q71&lt;4,'C&amp;B'!$E$316+(Q71*'C&amp;B'!$E$317),Q71*'C&amp;B'!$E$318))</f>
        <v>#VALUE!</v>
      </c>
      <c r="AK71" s="82">
        <f>IF(R71=0,0,IF(R71&lt;4,'C&amp;B'!$E$316+(R71*'C&amp;B'!$E$317),R71*'C&amp;B'!$E$318))</f>
        <v>1890.1479044155467</v>
      </c>
      <c r="AL71" s="82">
        <f>IF(S71=0,0,IF(S71&lt;4,'C&amp;B'!$E$316+(S71*'C&amp;B'!$E$317),S71*'C&amp;B'!$E$318))</f>
        <v>1955.1636902198361</v>
      </c>
      <c r="AM71" s="82">
        <f>IF(T71=0,0,IF(T71&lt;4,'C&amp;B'!$E$316+(T71*'C&amp;B'!$E$317),T71*'C&amp;B'!$E$318))</f>
        <v>1960.5123623166387</v>
      </c>
      <c r="AO71" s="130" t="s">
        <v>614</v>
      </c>
      <c r="AP71" s="82" t="e">
        <f t="shared" si="29"/>
        <v>#VALUE!</v>
      </c>
      <c r="AQ71" s="82" t="e">
        <f t="shared" si="28"/>
        <v>#VALUE!</v>
      </c>
      <c r="AR71" s="82">
        <f t="shared" si="28"/>
        <v>49023.56789756431</v>
      </c>
      <c r="AS71" s="82" t="e">
        <f t="shared" si="28"/>
        <v>#VALUE!</v>
      </c>
      <c r="AT71" s="82">
        <f t="shared" si="28"/>
        <v>49246.694118203821</v>
      </c>
      <c r="AU71" s="82" t="e">
        <f t="shared" si="28"/>
        <v>#VALUE!</v>
      </c>
      <c r="AV71" s="82">
        <f t="shared" si="28"/>
        <v>51040.427655899657</v>
      </c>
      <c r="AW71" s="82" t="e">
        <f t="shared" si="28"/>
        <v>#VALUE!</v>
      </c>
      <c r="AX71" s="82">
        <f t="shared" si="28"/>
        <v>51617.365843625463</v>
      </c>
      <c r="AY71" s="82" t="e">
        <f t="shared" si="28"/>
        <v>#VALUE!</v>
      </c>
      <c r="AZ71" s="82">
        <f t="shared" si="28"/>
        <v>52818.614580475078</v>
      </c>
      <c r="BA71" s="82" t="e">
        <f t="shared" si="28"/>
        <v>#VALUE!</v>
      </c>
      <c r="BB71" s="82">
        <f t="shared" si="28"/>
        <v>52262.720400855789</v>
      </c>
      <c r="BC71" s="82" t="e">
        <f t="shared" si="28"/>
        <v>#VALUE!</v>
      </c>
      <c r="BD71" s="82">
        <f t="shared" si="28"/>
        <v>53012.547904415544</v>
      </c>
      <c r="BE71" s="82">
        <f t="shared" si="28"/>
        <v>50991.763690219836</v>
      </c>
      <c r="BF71" s="82">
        <f t="shared" si="28"/>
        <v>49030.512362316636</v>
      </c>
    </row>
    <row r="72" spans="2:60">
      <c r="B72" s="114" t="s">
        <v>615</v>
      </c>
      <c r="C72" s="127">
        <f>SAP!D173</f>
        <v>0</v>
      </c>
      <c r="D72" s="131" t="str">
        <f>IF(IF(D$39&lt;=$C72,D$26,(((D$39-$C72)/SAP!$C$10)*'C&amp;B'!$D$13/SAP!$C$143)+D$26)&lt;=SAP!$D$151,IF(D$39&lt;=$C72,D$26,(((D$39-$C72)/SAP!$C$10)*'C&amp;B'!$D$13/SAP!$C$143)+D$26),"Not Possible")</f>
        <v>Not Possible</v>
      </c>
      <c r="E72" s="131" t="str">
        <f>IF(IF(E$39&lt;=$C72,E$26,(((E$39-$C72)/SAP!$C$10)*'C&amp;B'!$D$13/SAP!$C$143)+E$26)&lt;=SAP!$D$151,IF(E$39&lt;=$C72,E$26,(((E$39-$C72)/SAP!$C$10)*'C&amp;B'!$D$13/SAP!$C$143)+E$26),"Not Possible")</f>
        <v>Not Possible</v>
      </c>
      <c r="F72" s="131">
        <f>IF(IF(F$39&lt;=$C72,F$26,(((F$39-$C72)/SAP!$C$10)*'C&amp;B'!$D$13/SAP!$C$143)+F$26)&lt;=SAP!$D$151,IF(F$39&lt;=$C72,F$26,(((F$39-$C72)/SAP!$C$10)*'C&amp;B'!$D$13/SAP!$C$143)+F$26),"Not Possible")</f>
        <v>2.7245292559185978</v>
      </c>
      <c r="G72" s="131" t="str">
        <f>IF(IF(G$39&lt;=$C72,G$26,(((G$39-$C72)/SAP!$C$10)*'C&amp;B'!$D$13/SAP!$C$143)+G$26)&lt;=SAP!$D$151,IF(G$39&lt;=$C72,G$26,(((G$39-$C72)/SAP!$C$10)*'C&amp;B'!$D$13/SAP!$C$143)+G$26),"Not Possible")</f>
        <v>Not Possible</v>
      </c>
      <c r="H72" s="131">
        <f>IF(IF(H$39&lt;=$C72,H$26,(((H$39-$C72)/SAP!$C$10)*'C&amp;B'!$D$13/SAP!$C$143)+H$26)&lt;=SAP!$D$151,IF(H$39&lt;=$C72,H$26,(((H$39-$C72)/SAP!$C$10)*'C&amp;B'!$D$13/SAP!$C$143)+H$26),"Not Possible")</f>
        <v>2.7387396236511217</v>
      </c>
      <c r="I72" s="131" t="str">
        <f>IF(IF(I$39&lt;=$C72,I$26,(((I$39-$C72)/SAP!$C$10)*'C&amp;B'!$D$13/SAP!$C$143)+I$26)&lt;=SAP!$D$151,IF(I$39&lt;=$C72,I$26,(((I$39-$C72)/SAP!$C$10)*'C&amp;B'!$D$13/SAP!$C$143)+I$26),"Not Possible")</f>
        <v>Not Possible</v>
      </c>
      <c r="J72" s="131">
        <f>IF(IF(J$39&lt;=$C72,J$26,(((J$39-$C72)/SAP!$C$10)*'C&amp;B'!$D$13/SAP!$C$143)+J$26)&lt;=SAP!$D$151,IF(J$39&lt;=$C72,J$26,(((J$39-$C72)/SAP!$C$10)*'C&amp;B'!$D$13/SAP!$C$143)+J$26),"Not Possible")</f>
        <v>3.2026288531441813</v>
      </c>
      <c r="K72" s="131" t="str">
        <f>IF(IF(K$39&lt;=$C72,K$26,(((K$39-$C72)/SAP!$C$10)*'C&amp;B'!$D$13/SAP!$C$143)+K$26)&lt;=SAP!$D$151,IF(K$39&lt;=$C72,K$26,(((K$39-$C72)/SAP!$C$10)*'C&amp;B'!$D$13/SAP!$C$143)+K$26),"Not Possible")</f>
        <v>Not Possible</v>
      </c>
      <c r="L72" s="131">
        <f>IF(IF(L$39&lt;=$C72,L$26,(((L$39-$C72)/SAP!$C$10)*'C&amp;B'!$D$13/SAP!$C$143)+L$26)&lt;=SAP!$D$151,IF(L$39&lt;=$C72,L$26,(((L$39-$C72)/SAP!$C$10)*'C&amp;B'!$D$13/SAP!$C$143)+L$26),"Not Possible")</f>
        <v>3.0235258326871972</v>
      </c>
      <c r="M72" s="131" t="str">
        <f>IF(IF(M$39&lt;=$C72,M$26,(((M$39-$C72)/SAP!$C$10)*'C&amp;B'!$D$13/SAP!$C$143)+M$26)&lt;=SAP!$D$151,IF(M$39&lt;=$C72,M$26,(((M$39-$C72)/SAP!$C$10)*'C&amp;B'!$D$13/SAP!$C$143)+M$26),"Not Possible")</f>
        <v>Not Possible</v>
      </c>
      <c r="N72" s="131">
        <f>IF(IF(N$39&lt;=$C72,N$26,(((N$39-$C72)/SAP!$C$10)*'C&amp;B'!$D$13/SAP!$C$143)+N$26)&lt;=SAP!$D$151,IF(N$39&lt;=$C72,N$26,(((N$39-$C72)/SAP!$C$10)*'C&amp;B'!$D$13/SAP!$C$143)+N$26),"Not Possible")</f>
        <v>2.8836070607698883</v>
      </c>
      <c r="O72" s="131" t="str">
        <f>IF(IF(O$39&lt;=$C72,O$26,(((O$39-$C72)/SAP!$C$10)*'C&amp;B'!$D$13/SAP!$C$143)+O$26)&lt;=SAP!$D$151,IF(O$39&lt;=$C72,O$26,(((O$39-$C72)/SAP!$C$10)*'C&amp;B'!$D$13/SAP!$C$143)+O$26),"Not Possible")</f>
        <v>Not Possible</v>
      </c>
      <c r="P72" s="131">
        <f>IF(IF(P$39&lt;=$C72,P$26,(((P$39-$C72)/SAP!$C$10)*'C&amp;B'!$D$13/SAP!$C$143)+P$26)&lt;=SAP!$D$151,IF(P$39&lt;=$C72,P$26,(((P$39-$C72)/SAP!$C$10)*'C&amp;B'!$D$13/SAP!$C$143)+P$26),"Not Possible")</f>
        <v>2.7371167614044092</v>
      </c>
      <c r="Q72" s="131" t="str">
        <f>IF(IF(Q$39&lt;=$C72,Q$26,(((Q$39-$C72)/SAP!$C$10)*'C&amp;B'!$D$13/SAP!$C$143)+Q$26)&lt;=SAP!$D$151,IF(Q$39&lt;=$C72,Q$26,(((Q$39-$C72)/SAP!$C$10)*'C&amp;B'!$D$13/SAP!$C$143)+Q$26),"Not Possible")</f>
        <v>Not Possible</v>
      </c>
      <c r="R72" s="131">
        <f>IF(IF(R$39&lt;=$C72,R$26,(((R$39-$C72)/SAP!$C$10)*'C&amp;B'!$D$13/SAP!$C$143)+R$26)&lt;=SAP!$D$151,IF(R$39&lt;=$C72,R$26,(((R$39-$C72)/SAP!$C$10)*'C&amp;B'!$D$13/SAP!$C$143)+R$26),"Not Possible")</f>
        <v>2.6188292673373303</v>
      </c>
      <c r="S72" s="131">
        <f>IF(IF(S$39&lt;=$C72,S$26,(((S$39-$C72)/SAP!$C$10)*'C&amp;B'!$D$13/SAP!$C$143)+S$26)&lt;=SAP!$D$151,IF(S$39&lt;=$C72,S$26,(((S$39-$C72)/SAP!$C$10)*'C&amp;B'!$D$13/SAP!$C$143)+S$26),"Not Possible")</f>
        <v>2.7271889103444793</v>
      </c>
      <c r="T72" s="131">
        <f>IF(IF(T$39&lt;=$C72,T$26,(((T$39-$C72)/SAP!$C$10)*'C&amp;B'!$D$13/SAP!$C$143)+T$26)&lt;=SAP!$D$151,IF(T$39&lt;=$C72,T$26,(((T$39-$C72)/SAP!$C$10)*'C&amp;B'!$D$13/SAP!$C$143)+T$26),"Not Possible")</f>
        <v>2.7361033638391499</v>
      </c>
      <c r="V72" s="130" t="s">
        <v>615</v>
      </c>
      <c r="W72" s="82" t="e">
        <f>IF(D72=0,0,IF(D72&lt;4,'C&amp;B'!$E$316+(D72*'C&amp;B'!$E$317),D72*'C&amp;B'!$E$318))</f>
        <v>#VALUE!</v>
      </c>
      <c r="X72" s="82" t="e">
        <f>IF(E72=0,0,IF(E72&lt;4,'C&amp;B'!$E$316+(E72*'C&amp;B'!$E$317),E72*'C&amp;B'!$E$318))</f>
        <v>#VALUE!</v>
      </c>
      <c r="Y72" s="82">
        <f>IF(F72=0,0,IF(F72&lt;4,'C&amp;B'!$E$316+(F72*'C&amp;B'!$E$317),F72*'C&amp;B'!$E$318))</f>
        <v>2734.7175535511587</v>
      </c>
      <c r="Z72" s="82" t="e">
        <f>IF(G72=0,0,IF(G72&lt;4,'C&amp;B'!$E$316+(G72*'C&amp;B'!$E$317),G72*'C&amp;B'!$E$318))</f>
        <v>#VALUE!</v>
      </c>
      <c r="AA72" s="82">
        <f>IF(H72=0,0,IF(H72&lt;4,'C&amp;B'!$E$316+(H72*'C&amp;B'!$E$317),H72*'C&amp;B'!$E$318))</f>
        <v>2743.2437741906733</v>
      </c>
      <c r="AB72" s="82" t="e">
        <f>IF(I72=0,0,IF(I72&lt;4,'C&amp;B'!$E$316+(I72*'C&amp;B'!$E$317),I72*'C&amp;B'!$E$318))</f>
        <v>#VALUE!</v>
      </c>
      <c r="AC72" s="82">
        <f>IF(J72=0,0,IF(J72&lt;4,'C&amp;B'!$E$316+(J72*'C&amp;B'!$E$317),J72*'C&amp;B'!$E$318))</f>
        <v>3021.5773118865091</v>
      </c>
      <c r="AD72" s="82" t="e">
        <f>IF(K72=0,0,IF(K72&lt;4,'C&amp;B'!$E$316+(K72*'C&amp;B'!$E$317),K72*'C&amp;B'!$E$318))</f>
        <v>#VALUE!</v>
      </c>
      <c r="AE72" s="82">
        <f>IF(L72=0,0,IF(L72&lt;4,'C&amp;B'!$E$316+(L72*'C&amp;B'!$E$317),L72*'C&amp;B'!$E$318))</f>
        <v>2914.1154996123182</v>
      </c>
      <c r="AF72" s="82" t="e">
        <f>IF(M72=0,0,IF(M72&lt;4,'C&amp;B'!$E$316+(M72*'C&amp;B'!$E$317),M72*'C&amp;B'!$E$318))</f>
        <v>#VALUE!</v>
      </c>
      <c r="AG72" s="82">
        <f>IF(N72=0,0,IF(N72&lt;4,'C&amp;B'!$E$316+(N72*'C&amp;B'!$E$317),N72*'C&amp;B'!$E$318))</f>
        <v>2830.1642364619329</v>
      </c>
      <c r="AH72" s="82" t="e">
        <f>IF(O72=0,0,IF(O72&lt;4,'C&amp;B'!$E$316+(O72*'C&amp;B'!$E$317),O72*'C&amp;B'!$E$318))</f>
        <v>#VALUE!</v>
      </c>
      <c r="AI72" s="82">
        <f>IF(P72=0,0,IF(P72&lt;4,'C&amp;B'!$E$316+(P72*'C&amp;B'!$E$317),P72*'C&amp;B'!$E$318))</f>
        <v>2742.2700568426453</v>
      </c>
      <c r="AJ72" s="82" t="e">
        <f>IF(Q72=0,0,IF(Q72&lt;4,'C&amp;B'!$E$316+(Q72*'C&amp;B'!$E$317),Q72*'C&amp;B'!$E$318))</f>
        <v>#VALUE!</v>
      </c>
      <c r="AK72" s="82">
        <f>IF(R72=0,0,IF(R72&lt;4,'C&amp;B'!$E$316+(R72*'C&amp;B'!$E$317),R72*'C&amp;B'!$E$318))</f>
        <v>2671.2975604023982</v>
      </c>
      <c r="AL72" s="82">
        <f>IF(S72=0,0,IF(S72&lt;4,'C&amp;B'!$E$316+(S72*'C&amp;B'!$E$317),S72*'C&amp;B'!$E$318))</f>
        <v>2736.3133462066876</v>
      </c>
      <c r="AM72" s="82">
        <f>IF(T72=0,0,IF(T72&lt;4,'C&amp;B'!$E$316+(T72*'C&amp;B'!$E$317),T72*'C&amp;B'!$E$318))</f>
        <v>2741.6620183034902</v>
      </c>
      <c r="AO72" s="130" t="s">
        <v>615</v>
      </c>
      <c r="AP72" s="82" t="e">
        <f t="shared" si="29"/>
        <v>#VALUE!</v>
      </c>
      <c r="AQ72" s="82" t="e">
        <f t="shared" si="28"/>
        <v>#VALUE!</v>
      </c>
      <c r="AR72" s="82">
        <f t="shared" si="28"/>
        <v>49804.717553551156</v>
      </c>
      <c r="AS72" s="82" t="e">
        <f t="shared" si="28"/>
        <v>#VALUE!</v>
      </c>
      <c r="AT72" s="82">
        <f t="shared" si="28"/>
        <v>50027.843774190675</v>
      </c>
      <c r="AU72" s="82" t="e">
        <f t="shared" si="28"/>
        <v>#VALUE!</v>
      </c>
      <c r="AV72" s="82">
        <f t="shared" si="28"/>
        <v>51821.577311886511</v>
      </c>
      <c r="AW72" s="82" t="e">
        <f t="shared" si="28"/>
        <v>#VALUE!</v>
      </c>
      <c r="AX72" s="82">
        <f t="shared" si="28"/>
        <v>52398.515499612309</v>
      </c>
      <c r="AY72" s="82" t="e">
        <f t="shared" si="28"/>
        <v>#VALUE!</v>
      </c>
      <c r="AZ72" s="82">
        <f t="shared" si="28"/>
        <v>53599.764236461931</v>
      </c>
      <c r="BA72" s="82" t="e">
        <f t="shared" si="28"/>
        <v>#VALUE!</v>
      </c>
      <c r="BB72" s="82">
        <f t="shared" si="28"/>
        <v>53043.870056842643</v>
      </c>
      <c r="BC72" s="82" t="e">
        <f t="shared" si="28"/>
        <v>#VALUE!</v>
      </c>
      <c r="BD72" s="82">
        <f t="shared" si="28"/>
        <v>53793.69756040239</v>
      </c>
      <c r="BE72" s="82">
        <f t="shared" si="28"/>
        <v>51772.913346206689</v>
      </c>
      <c r="BF72" s="82">
        <f t="shared" si="28"/>
        <v>49811.66201830349</v>
      </c>
    </row>
    <row r="73" spans="2:60">
      <c r="B73" s="71"/>
    </row>
    <row r="74" spans="2:60">
      <c r="B74" s="1" t="s">
        <v>714</v>
      </c>
      <c r="AO74" s="11" t="s">
        <v>716</v>
      </c>
    </row>
    <row r="75" spans="2:60" ht="72">
      <c r="B75" s="56" t="s">
        <v>294</v>
      </c>
      <c r="C75" s="57" t="s">
        <v>336</v>
      </c>
      <c r="D75" s="58" t="s">
        <v>343</v>
      </c>
      <c r="E75" s="58" t="s">
        <v>372</v>
      </c>
      <c r="F75" s="58" t="s">
        <v>359</v>
      </c>
      <c r="G75" s="58" t="s">
        <v>360</v>
      </c>
      <c r="H75" s="58" t="s">
        <v>361</v>
      </c>
      <c r="I75" s="58" t="s">
        <v>362</v>
      </c>
      <c r="J75" s="58" t="s">
        <v>363</v>
      </c>
      <c r="K75" s="58" t="s">
        <v>364</v>
      </c>
      <c r="L75" s="58" t="s">
        <v>351</v>
      </c>
      <c r="M75" s="58" t="s">
        <v>791</v>
      </c>
      <c r="AO75" s="144" t="s">
        <v>16</v>
      </c>
      <c r="AP75" s="117" t="s">
        <v>343</v>
      </c>
      <c r="AQ75" s="117" t="s">
        <v>435</v>
      </c>
      <c r="AR75" s="117" t="s">
        <v>436</v>
      </c>
      <c r="AS75" s="117" t="s">
        <v>437</v>
      </c>
      <c r="AT75" s="117" t="s">
        <v>438</v>
      </c>
      <c r="AU75" s="117" t="s">
        <v>439</v>
      </c>
      <c r="AV75" s="117" t="s">
        <v>440</v>
      </c>
      <c r="AW75" s="117" t="s">
        <v>441</v>
      </c>
      <c r="AX75" s="117" t="s">
        <v>442</v>
      </c>
      <c r="AY75" s="117" t="s">
        <v>443</v>
      </c>
      <c r="AZ75" s="117" t="s">
        <v>444</v>
      </c>
      <c r="BA75" s="117" t="s">
        <v>445</v>
      </c>
      <c r="BB75" s="117" t="s">
        <v>446</v>
      </c>
      <c r="BC75" s="117" t="s">
        <v>447</v>
      </c>
      <c r="BD75" s="117" t="s">
        <v>677</v>
      </c>
      <c r="BE75" s="117" t="s">
        <v>351</v>
      </c>
      <c r="BF75" s="117" t="s">
        <v>791</v>
      </c>
    </row>
    <row r="76" spans="2:60">
      <c r="B76" s="59" t="s">
        <v>310</v>
      </c>
      <c r="C76" s="129" t="s">
        <v>24</v>
      </c>
      <c r="D76" s="73">
        <f>D8*'C&amp;B'!$D$12</f>
        <v>5.5380000000000003</v>
      </c>
      <c r="E76" s="73">
        <f>E8*'C&amp;B'!$D$12</f>
        <v>5.5380000000000003</v>
      </c>
      <c r="F76" s="73">
        <f>G8*'C&amp;B'!$D$12</f>
        <v>6.39</v>
      </c>
      <c r="G76" s="73">
        <f>I8*'C&amp;B'!$D$12</f>
        <v>5.5380000000000003</v>
      </c>
      <c r="H76" s="73">
        <f>K8*'C&amp;B'!$D$12</f>
        <v>5.1120000000000001</v>
      </c>
      <c r="I76" s="73">
        <f>M8*'C&amp;B'!$D$12</f>
        <v>4.6859999999999999</v>
      </c>
      <c r="J76" s="73">
        <f>O8*'C&amp;B'!$D$12</f>
        <v>4.6859999999999999</v>
      </c>
      <c r="K76" s="73">
        <f>Q8*'C&amp;B'!$D$12</f>
        <v>5.5380000000000003</v>
      </c>
      <c r="L76" s="73">
        <f>S8*'C&amp;B'!$D$12</f>
        <v>4.6859999999999999</v>
      </c>
      <c r="M76" s="73">
        <f>T8*'C&amp;B'!$D$12</f>
        <v>5.5380000000000003</v>
      </c>
      <c r="AO76" s="133" t="s">
        <v>667</v>
      </c>
      <c r="AP76" s="132"/>
      <c r="AQ76" s="132"/>
      <c r="AR76" s="132"/>
      <c r="AS76" s="132"/>
      <c r="AT76" s="132"/>
      <c r="AU76" s="132"/>
      <c r="AV76" s="132"/>
      <c r="AW76" s="132"/>
      <c r="AX76" s="132"/>
      <c r="AY76" s="132"/>
      <c r="AZ76" s="132"/>
      <c r="BA76" s="132"/>
      <c r="BB76" s="132"/>
      <c r="BC76" s="132"/>
      <c r="BD76" s="132"/>
      <c r="BE76" s="132"/>
      <c r="BF76" s="132"/>
    </row>
    <row r="77" spans="2:60">
      <c r="B77" s="59" t="s">
        <v>311</v>
      </c>
      <c r="C77" s="129" t="s">
        <v>24</v>
      </c>
      <c r="D77" s="73">
        <f>SUMPRODUCT(D6:D7,'C&amp;B'!$D$8:$D$9)</f>
        <v>16.884</v>
      </c>
      <c r="E77" s="73">
        <f>SUMPRODUCT(E6:E7,'C&amp;B'!$D$8:$D$9)</f>
        <v>16.884</v>
      </c>
      <c r="F77" s="73">
        <f>SUMPRODUCT(F6:F7,'C&amp;B'!$D$8:$D$9)</f>
        <v>16.884</v>
      </c>
      <c r="G77" s="73">
        <f>SUMPRODUCT(G6:G7,'C&amp;B'!$D$8:$D$9)</f>
        <v>16.884</v>
      </c>
      <c r="H77" s="73">
        <f>SUMPRODUCT(H6:H7,'C&amp;B'!$D$8:$D$9)</f>
        <v>16.884</v>
      </c>
      <c r="I77" s="73">
        <f>SUMPRODUCT(I6:I7,'C&amp;B'!$D$8:$D$9)</f>
        <v>16.884</v>
      </c>
      <c r="J77" s="73">
        <f>SUMPRODUCT(J6:J7,'C&amp;B'!$D$8:$D$9)</f>
        <v>16.884</v>
      </c>
      <c r="K77" s="73">
        <f>SUMPRODUCT(K6:K7,'C&amp;B'!$D$8:$D$9)</f>
        <v>15.007999999999999</v>
      </c>
      <c r="L77" s="73">
        <f>SUMPRODUCT(L6:L7,'C&amp;B'!$D$8:$D$9)</f>
        <v>15.007999999999999</v>
      </c>
      <c r="M77" s="73">
        <f>SUMPRODUCT(M6:M7,'C&amp;B'!$D$8:$D$9)</f>
        <v>14.069999999999999</v>
      </c>
      <c r="AO77" s="130" t="s">
        <v>609</v>
      </c>
      <c r="AP77" s="82">
        <f>AP58-$AP$58</f>
        <v>0</v>
      </c>
      <c r="AQ77" s="82">
        <f t="shared" ref="AQ77:BF77" si="30">AQ58-$AP$58</f>
        <v>-575.38638928526052</v>
      </c>
      <c r="AR77" s="82">
        <f t="shared" si="30"/>
        <v>-3350.8129057918268</v>
      </c>
      <c r="AS77" s="82">
        <f t="shared" si="30"/>
        <v>-320.74446295254165</v>
      </c>
      <c r="AT77" s="82">
        <f t="shared" si="30"/>
        <v>-3136.2129057918282</v>
      </c>
      <c r="AU77" s="82">
        <f t="shared" si="30"/>
        <v>1090.2359703018446</v>
      </c>
      <c r="AV77" s="82">
        <f t="shared" si="30"/>
        <v>-1620.8129057918268</v>
      </c>
      <c r="AW77" s="82">
        <f t="shared" si="30"/>
        <v>1147.4996898629179</v>
      </c>
      <c r="AX77" s="82">
        <f t="shared" si="30"/>
        <v>-936.4129057918326</v>
      </c>
      <c r="AY77" s="82">
        <f t="shared" si="30"/>
        <v>1940.2481462433352</v>
      </c>
      <c r="AZ77" s="82">
        <f t="shared" si="30"/>
        <v>348.78709420817177</v>
      </c>
      <c r="BA77" s="82">
        <f t="shared" si="30"/>
        <v>956.6677630017075</v>
      </c>
      <c r="BB77" s="82">
        <f t="shared" si="30"/>
        <v>-119.21290579182823</v>
      </c>
      <c r="BC77" s="82">
        <f t="shared" si="30"/>
        <v>1361.1486498047161</v>
      </c>
      <c r="BD77" s="82">
        <f t="shared" si="30"/>
        <v>701.5870942081674</v>
      </c>
      <c r="BE77" s="82">
        <f t="shared" si="30"/>
        <v>-1384.2129057918282</v>
      </c>
      <c r="BF77" s="82">
        <f t="shared" si="30"/>
        <v>-3350.8129057918268</v>
      </c>
    </row>
    <row r="78" spans="2:60">
      <c r="B78" s="59" t="s">
        <v>312</v>
      </c>
      <c r="C78" s="129" t="s">
        <v>24</v>
      </c>
      <c r="D78" s="73">
        <f>SUMPRODUCT(D9:D10,'C&amp;B'!$D$10:$D$11)</f>
        <v>4.6859999999999999</v>
      </c>
      <c r="E78" s="73">
        <f>SUMPRODUCT(E9:E10,'C&amp;B'!$D$10:$D$11)</f>
        <v>5.5940000000000003</v>
      </c>
      <c r="F78" s="73">
        <f>SUMPRODUCT(F9:F10,'C&amp;B'!$D$10:$D$11)</f>
        <v>5.5940000000000003</v>
      </c>
      <c r="G78" s="73">
        <f>SUMPRODUCT(G9:G10,'C&amp;B'!$D$10:$D$11)</f>
        <v>4.758</v>
      </c>
      <c r="H78" s="73">
        <f>SUMPRODUCT(H9:H10,'C&amp;B'!$D$10:$D$11)</f>
        <v>4.758</v>
      </c>
      <c r="I78" s="73">
        <f>SUMPRODUCT(I9:I10,'C&amp;B'!$D$10:$D$11)</f>
        <v>5.5540000000000003</v>
      </c>
      <c r="J78" s="73">
        <f>SUMPRODUCT(J9:J10,'C&amp;B'!$D$10:$D$11)</f>
        <v>5.5540000000000003</v>
      </c>
      <c r="K78" s="73">
        <f>SUMPRODUCT(K9:K10,'C&amp;B'!$D$10:$D$11)</f>
        <v>4.702</v>
      </c>
      <c r="L78" s="73">
        <f>SUMPRODUCT(L9:L10,'C&amp;B'!$D$10:$D$11)</f>
        <v>4.702</v>
      </c>
      <c r="M78" s="73">
        <f>SUMPRODUCT(M9:M10,'C&amp;B'!$D$10:$D$11)</f>
        <v>4.702</v>
      </c>
      <c r="AO78" s="130" t="s">
        <v>610</v>
      </c>
      <c r="AP78" s="82">
        <f t="shared" ref="AP78:BF83" si="31">AP59-$AP$58</f>
        <v>443.90788119463832</v>
      </c>
      <c r="AQ78" s="82">
        <f t="shared" si="31"/>
        <v>937.96682332705677</v>
      </c>
      <c r="AR78" s="82">
        <f t="shared" si="31"/>
        <v>-3350.8129057918268</v>
      </c>
      <c r="AS78" s="82">
        <f t="shared" si="31"/>
        <v>1225.9770216037141</v>
      </c>
      <c r="AT78" s="82">
        <f t="shared" si="31"/>
        <v>-3136.2129057918282</v>
      </c>
      <c r="AU78" s="82">
        <f t="shared" si="31"/>
        <v>2549.9411492367581</v>
      </c>
      <c r="AV78" s="82">
        <f t="shared" si="31"/>
        <v>-1620.8129057918268</v>
      </c>
      <c r="AW78" s="82">
        <f t="shared" si="31"/>
        <v>1591.4075710575635</v>
      </c>
      <c r="AX78" s="82">
        <f t="shared" si="31"/>
        <v>-936.4129057918326</v>
      </c>
      <c r="AY78" s="82">
        <f t="shared" si="31"/>
        <v>2384.1560274379808</v>
      </c>
      <c r="AZ78" s="82">
        <f t="shared" si="31"/>
        <v>348.78709420817177</v>
      </c>
      <c r="BA78" s="82">
        <f t="shared" si="31"/>
        <v>1400.5756441963458</v>
      </c>
      <c r="BB78" s="82">
        <f t="shared" si="31"/>
        <v>-119.21290579182823</v>
      </c>
      <c r="BC78" s="82">
        <f t="shared" si="31"/>
        <v>1805.0565309993617</v>
      </c>
      <c r="BD78" s="82">
        <f t="shared" si="31"/>
        <v>701.5870942081674</v>
      </c>
      <c r="BE78" s="82">
        <f t="shared" si="31"/>
        <v>-1384.2129057918282</v>
      </c>
      <c r="BF78" s="82">
        <f t="shared" si="31"/>
        <v>-3350.8129057918268</v>
      </c>
    </row>
    <row r="79" spans="2:60">
      <c r="B79" s="59" t="s">
        <v>224</v>
      </c>
      <c r="C79" s="129" t="s">
        <v>24</v>
      </c>
      <c r="D79" s="73">
        <f>D12*'C&amp;B'!$D$14</f>
        <v>17.52</v>
      </c>
      <c r="E79" s="73">
        <f>E12*'C&amp;B'!$D$14</f>
        <v>20.439999999999998</v>
      </c>
      <c r="F79" s="73">
        <f>G12*'C&amp;B'!$D$14</f>
        <v>17.52</v>
      </c>
      <c r="G79" s="73">
        <f>I12*'C&amp;B'!$D$14</f>
        <v>20.439999999999998</v>
      </c>
      <c r="H79" s="73">
        <f>K12*'C&amp;B'!$D$14</f>
        <v>17.52</v>
      </c>
      <c r="I79" s="73">
        <f>M12*'C&amp;B'!$D$14</f>
        <v>11.68</v>
      </c>
      <c r="J79" s="73">
        <f>O12*'C&amp;B'!$D$14</f>
        <v>11.68</v>
      </c>
      <c r="K79" s="73">
        <f>Q12*'C&amp;B'!$D$14</f>
        <v>11.68</v>
      </c>
      <c r="L79" s="73">
        <f>S12*'C&amp;B'!$D$14</f>
        <v>11.68</v>
      </c>
      <c r="M79" s="73">
        <f>T12*'C&amp;B'!$D$14</f>
        <v>20.439999999999998</v>
      </c>
      <c r="AO79" s="130" t="s">
        <v>611</v>
      </c>
      <c r="AP79" s="82">
        <f t="shared" si="31"/>
        <v>1976.5063192068774</v>
      </c>
      <c r="AQ79" s="82">
        <f t="shared" si="31"/>
        <v>1751.7979388505773</v>
      </c>
      <c r="AR79" s="82">
        <f t="shared" si="31"/>
        <v>-3350.8129057918268</v>
      </c>
      <c r="AS79" s="82">
        <f t="shared" si="31"/>
        <v>2039.8081371272274</v>
      </c>
      <c r="AT79" s="82">
        <f t="shared" si="31"/>
        <v>-3136.2129057918282</v>
      </c>
      <c r="AU79" s="82">
        <f t="shared" si="31"/>
        <v>3363.7722647602714</v>
      </c>
      <c r="AV79" s="82">
        <f t="shared" si="31"/>
        <v>-1620.8129057918268</v>
      </c>
      <c r="AW79" s="82">
        <f t="shared" si="31"/>
        <v>2035.3154522522091</v>
      </c>
      <c r="AX79" s="82">
        <f t="shared" si="31"/>
        <v>-936.4129057918326</v>
      </c>
      <c r="AY79" s="82">
        <f t="shared" si="31"/>
        <v>2828.0639086326264</v>
      </c>
      <c r="AZ79" s="82">
        <f t="shared" si="31"/>
        <v>348.78709420817177</v>
      </c>
      <c r="BA79" s="82">
        <f t="shared" si="31"/>
        <v>1844.4835253909914</v>
      </c>
      <c r="BB79" s="82">
        <f t="shared" si="31"/>
        <v>-119.21290579182823</v>
      </c>
      <c r="BC79" s="82">
        <f t="shared" si="31"/>
        <v>2248.9644121940073</v>
      </c>
      <c r="BD79" s="82">
        <f t="shared" si="31"/>
        <v>701.5870942081674</v>
      </c>
      <c r="BE79" s="82">
        <f t="shared" si="31"/>
        <v>-1384.2129057918282</v>
      </c>
      <c r="BF79" s="82">
        <f t="shared" si="31"/>
        <v>-3350.8129057918268</v>
      </c>
    </row>
    <row r="80" spans="2:60">
      <c r="B80" s="59" t="s">
        <v>223</v>
      </c>
      <c r="C80" s="129" t="s">
        <v>24</v>
      </c>
      <c r="D80" s="73">
        <f>D11*'C&amp;B'!$D$15</f>
        <v>2.1</v>
      </c>
      <c r="E80" s="73">
        <f>E11*'C&amp;B'!$D$15</f>
        <v>2.1</v>
      </c>
      <c r="F80" s="73">
        <f>G11*'C&amp;B'!$D$15</f>
        <v>2.52</v>
      </c>
      <c r="G80" s="73">
        <f>I11*'C&amp;B'!$D$15</f>
        <v>2.1</v>
      </c>
      <c r="H80" s="73">
        <f>K11*'C&amp;B'!$D$15</f>
        <v>2.1</v>
      </c>
      <c r="I80" s="73">
        <f>M11*'C&amp;B'!$D$15</f>
        <v>2.1</v>
      </c>
      <c r="J80" s="73">
        <f>O11*'C&amp;B'!$D$15</f>
        <v>2.1</v>
      </c>
      <c r="K80" s="73">
        <f>Q11*'C&amp;B'!$D$15</f>
        <v>2.1</v>
      </c>
      <c r="L80" s="73">
        <f>S11*'C&amp;B'!$D$15</f>
        <v>2.1</v>
      </c>
      <c r="M80" s="73">
        <f>T11*'C&amp;B'!$D$15</f>
        <v>2.1</v>
      </c>
      <c r="AO80" s="130" t="s">
        <v>612</v>
      </c>
      <c r="AP80" s="82">
        <f t="shared" si="31"/>
        <v>2790.3374347303979</v>
      </c>
      <c r="AQ80" s="82" t="e">
        <f t="shared" si="31"/>
        <v>#VALUE!</v>
      </c>
      <c r="AR80" s="82">
        <f t="shared" si="31"/>
        <v>-3350.8129057918268</v>
      </c>
      <c r="AS80" s="82" t="e">
        <f t="shared" si="31"/>
        <v>#VALUE!</v>
      </c>
      <c r="AT80" s="82">
        <f t="shared" si="31"/>
        <v>-3136.2129057918282</v>
      </c>
      <c r="AU80" s="82" t="e">
        <f t="shared" si="31"/>
        <v>#VALUE!</v>
      </c>
      <c r="AV80" s="82">
        <f t="shared" si="31"/>
        <v>-1620.8129057918268</v>
      </c>
      <c r="AW80" s="82">
        <f t="shared" si="31"/>
        <v>3712.2535328124141</v>
      </c>
      <c r="AX80" s="82">
        <f t="shared" si="31"/>
        <v>-936.4129057918326</v>
      </c>
      <c r="AY80" s="82">
        <f t="shared" si="31"/>
        <v>3271.971789827272</v>
      </c>
      <c r="AZ80" s="82">
        <f t="shared" si="31"/>
        <v>348.78709420817177</v>
      </c>
      <c r="BA80" s="82">
        <f t="shared" si="31"/>
        <v>2288.391406585637</v>
      </c>
      <c r="BB80" s="82">
        <f t="shared" si="31"/>
        <v>-119.21290579182823</v>
      </c>
      <c r="BC80" s="82">
        <f t="shared" si="31"/>
        <v>2692.8722933886529</v>
      </c>
      <c r="BD80" s="82">
        <f t="shared" si="31"/>
        <v>701.5870942081674</v>
      </c>
      <c r="BE80" s="82">
        <f t="shared" si="31"/>
        <v>-1384.2129057918282</v>
      </c>
      <c r="BF80" s="82">
        <f t="shared" si="31"/>
        <v>-3350.8129057918268</v>
      </c>
    </row>
    <row r="81" spans="2:58">
      <c r="B81" s="59" t="s">
        <v>313</v>
      </c>
      <c r="C81" s="129" t="s">
        <v>24</v>
      </c>
      <c r="D81" s="73">
        <f>D15*'C&amp;B'!$D$20</f>
        <v>9.7850000000000001</v>
      </c>
      <c r="E81" s="73">
        <f>E15*'C&amp;B'!$D$20</f>
        <v>9.7850000000000001</v>
      </c>
      <c r="F81" s="73">
        <f>G15*'C&amp;B'!$D$20</f>
        <v>7.8279999999999994</v>
      </c>
      <c r="G81" s="73">
        <f>I15*'C&amp;B'!$D$20</f>
        <v>9.7850000000000001</v>
      </c>
      <c r="H81" s="73">
        <f>K15*'C&amp;B'!$D$20</f>
        <v>9.7850000000000001</v>
      </c>
      <c r="I81" s="73">
        <f>M15*'C&amp;B'!$D$20</f>
        <v>7.8279999999999994</v>
      </c>
      <c r="J81" s="73">
        <f>O15*'C&amp;B'!$D$20</f>
        <v>7.8279999999999994</v>
      </c>
      <c r="K81" s="73">
        <f>Q15*'C&amp;B'!$D$20</f>
        <v>7.8279999999999994</v>
      </c>
      <c r="L81" s="73">
        <f>S15*'C&amp;B'!$D$20</f>
        <v>9.7850000000000001</v>
      </c>
      <c r="M81" s="73">
        <f>T15*'C&amp;B'!$D$20</f>
        <v>9.7850000000000001</v>
      </c>
      <c r="AO81" s="130" t="s">
        <v>613</v>
      </c>
      <c r="AP81" s="82" t="e">
        <f t="shared" si="31"/>
        <v>#VALUE!</v>
      </c>
      <c r="AQ81" s="82" t="e">
        <f t="shared" si="31"/>
        <v>#VALUE!</v>
      </c>
      <c r="AR81" s="82">
        <f t="shared" si="31"/>
        <v>-3350.8129057918268</v>
      </c>
      <c r="AS81" s="82" t="e">
        <f t="shared" si="31"/>
        <v>#VALUE!</v>
      </c>
      <c r="AT81" s="82">
        <f t="shared" si="31"/>
        <v>-3136.2129057918282</v>
      </c>
      <c r="AU81" s="82" t="e">
        <f t="shared" si="31"/>
        <v>#VALUE!</v>
      </c>
      <c r="AV81" s="82">
        <f t="shared" si="31"/>
        <v>-1620.8129057918268</v>
      </c>
      <c r="AW81" s="82" t="e">
        <f t="shared" si="31"/>
        <v>#VALUE!</v>
      </c>
      <c r="AX81" s="82">
        <f t="shared" si="31"/>
        <v>-936.4129057918326</v>
      </c>
      <c r="AY81" s="82">
        <f t="shared" si="31"/>
        <v>4908.4568183666997</v>
      </c>
      <c r="AZ81" s="82">
        <f t="shared" si="31"/>
        <v>348.78709420817177</v>
      </c>
      <c r="BA81" s="82">
        <f t="shared" si="31"/>
        <v>2732.2992877802826</v>
      </c>
      <c r="BB81" s="82">
        <f t="shared" si="31"/>
        <v>-119.21290579182823</v>
      </c>
      <c r="BC81" s="82">
        <f t="shared" si="31"/>
        <v>3136.7801745832985</v>
      </c>
      <c r="BD81" s="82">
        <f t="shared" si="31"/>
        <v>701.5870942081674</v>
      </c>
      <c r="BE81" s="82">
        <f t="shared" si="31"/>
        <v>-1384.2129057918282</v>
      </c>
      <c r="BF81" s="82">
        <f t="shared" si="31"/>
        <v>-3350.8129057918268</v>
      </c>
    </row>
    <row r="82" spans="2:58">
      <c r="B82" s="59" t="s">
        <v>314</v>
      </c>
      <c r="C82" s="129" t="s">
        <v>24</v>
      </c>
      <c r="D82" s="73">
        <f>1/3*0.5*'C&amp;B'!$D$19*(1-Attached!D13)</f>
        <v>34.08</v>
      </c>
      <c r="E82" s="73">
        <f>1/3*0.5*'C&amp;B'!$D$19*(1-Attached!E13)</f>
        <v>34.08</v>
      </c>
      <c r="F82" s="73">
        <f>1/3*0.5*'C&amp;B'!$D$19*(1-Attached!G13)</f>
        <v>34.08</v>
      </c>
      <c r="G82" s="73">
        <f>1/3*0.5*'C&amp;B'!$D$19*(1-Attached!I13)</f>
        <v>8.52</v>
      </c>
      <c r="H82" s="73">
        <f>1/3*0.5*'C&amp;B'!$D$19*(1-Attached!K13)</f>
        <v>8.52</v>
      </c>
      <c r="I82" s="73">
        <f>1/3*0.5*'C&amp;B'!$D$19*(1-Attached!M13)</f>
        <v>8.52</v>
      </c>
      <c r="J82" s="73">
        <f>1/3*0.5*'C&amp;B'!$D$19*(1-Attached!O13)</f>
        <v>8.52</v>
      </c>
      <c r="K82" s="73">
        <f>1/3*0.5*'C&amp;B'!$D$19*(1-Attached!Q13)</f>
        <v>8.52</v>
      </c>
      <c r="L82" s="73">
        <f>1/3*0.5*'C&amp;B'!$D$19*(1-Attached!S13)</f>
        <v>34.08</v>
      </c>
      <c r="M82" s="73">
        <f>1/3*0.5*'C&amp;B'!$D$19*(1-Attached!T13)</f>
        <v>34.08</v>
      </c>
      <c r="AO82" s="130" t="s">
        <v>614</v>
      </c>
      <c r="AP82" s="82" t="e">
        <f t="shared" si="31"/>
        <v>#VALUE!</v>
      </c>
      <c r="AQ82" s="82" t="e">
        <f t="shared" si="31"/>
        <v>#VALUE!</v>
      </c>
      <c r="AR82" s="82">
        <f t="shared" si="31"/>
        <v>-3350.8129057918268</v>
      </c>
      <c r="AS82" s="82" t="e">
        <f t="shared" si="31"/>
        <v>#VALUE!</v>
      </c>
      <c r="AT82" s="82">
        <f t="shared" si="31"/>
        <v>-3136.2129057918282</v>
      </c>
      <c r="AU82" s="82" t="e">
        <f t="shared" si="31"/>
        <v>#VALUE!</v>
      </c>
      <c r="AV82" s="82">
        <f t="shared" si="31"/>
        <v>-1620.8129057918268</v>
      </c>
      <c r="AW82" s="82" t="e">
        <f t="shared" si="31"/>
        <v>#VALUE!</v>
      </c>
      <c r="AX82" s="82">
        <f t="shared" si="31"/>
        <v>-936.4129057918326</v>
      </c>
      <c r="AY82" s="82" t="e">
        <f t="shared" si="31"/>
        <v>#VALUE!</v>
      </c>
      <c r="AZ82" s="82">
        <f t="shared" si="31"/>
        <v>348.78709420817177</v>
      </c>
      <c r="BA82" s="82">
        <f t="shared" si="31"/>
        <v>4309.0572312805598</v>
      </c>
      <c r="BB82" s="82">
        <f t="shared" si="31"/>
        <v>-119.21290579182823</v>
      </c>
      <c r="BC82" s="82">
        <f t="shared" si="31"/>
        <v>3580.6880557779441</v>
      </c>
      <c r="BD82" s="82">
        <f t="shared" si="31"/>
        <v>701.5870942081674</v>
      </c>
      <c r="BE82" s="82">
        <f t="shared" si="31"/>
        <v>-1384.2129057918282</v>
      </c>
      <c r="BF82" s="82">
        <f t="shared" si="31"/>
        <v>-3350.8129057918268</v>
      </c>
    </row>
    <row r="83" spans="2:58">
      <c r="B83" s="59" t="s">
        <v>315</v>
      </c>
      <c r="C83" s="129" t="s">
        <v>24</v>
      </c>
      <c r="D83" s="73">
        <f>1/3*(D14/20)*'C&amp;B'!$D$19</f>
        <v>17.04</v>
      </c>
      <c r="E83" s="73">
        <f>1/3*(E14/20)*'C&amp;B'!$D$19</f>
        <v>17.04</v>
      </c>
      <c r="F83" s="73">
        <f>1/3*(G14/20)*'C&amp;B'!$D$19</f>
        <v>17.04</v>
      </c>
      <c r="G83" s="73">
        <f>1/3*(I14/20)*'C&amp;B'!$D$19</f>
        <v>17.04</v>
      </c>
      <c r="H83" s="73">
        <f>1/3*(K14/20)*'C&amp;B'!$D$19</f>
        <v>10.223999999999998</v>
      </c>
      <c r="I83" s="73">
        <f>1/3*(M14/20)*'C&amp;B'!$D$19</f>
        <v>10.223999999999998</v>
      </c>
      <c r="J83" s="73">
        <f>1/3*(O14/20)*'C&amp;B'!$D$19</f>
        <v>6.8159999999999998</v>
      </c>
      <c r="K83" s="73">
        <f>1/3*(Q14/20)*'C&amp;B'!$D$19</f>
        <v>3.4079999999999999</v>
      </c>
      <c r="L83" s="73">
        <f>1/3*(S14/20)*'C&amp;B'!$D$19</f>
        <v>17.04</v>
      </c>
      <c r="M83" s="73">
        <f>1/3*(T14/20)*'C&amp;B'!$D$19</f>
        <v>17.04</v>
      </c>
      <c r="AO83" s="130" t="s">
        <v>615</v>
      </c>
      <c r="AP83" s="82" t="e">
        <f t="shared" si="31"/>
        <v>#VALUE!</v>
      </c>
      <c r="AQ83" s="82" t="e">
        <f t="shared" si="31"/>
        <v>#VALUE!</v>
      </c>
      <c r="AR83" s="82">
        <f t="shared" si="31"/>
        <v>-616.09535224067076</v>
      </c>
      <c r="AS83" s="82" t="e">
        <f t="shared" si="31"/>
        <v>#VALUE!</v>
      </c>
      <c r="AT83" s="82">
        <f t="shared" si="31"/>
        <v>-392.96913160115218</v>
      </c>
      <c r="AU83" s="82" t="e">
        <f t="shared" si="31"/>
        <v>#VALUE!</v>
      </c>
      <c r="AV83" s="82">
        <f t="shared" si="31"/>
        <v>1400.7644060946841</v>
      </c>
      <c r="AW83" s="82" t="e">
        <f t="shared" si="31"/>
        <v>#VALUE!</v>
      </c>
      <c r="AX83" s="82">
        <f t="shared" si="31"/>
        <v>1977.7025938204824</v>
      </c>
      <c r="AY83" s="82" t="e">
        <f t="shared" si="31"/>
        <v>#VALUE!</v>
      </c>
      <c r="AZ83" s="82">
        <f t="shared" si="31"/>
        <v>3178.9513306701047</v>
      </c>
      <c r="BA83" s="82" t="e">
        <f t="shared" si="31"/>
        <v>#VALUE!</v>
      </c>
      <c r="BB83" s="82">
        <f t="shared" si="31"/>
        <v>2623.0571510508162</v>
      </c>
      <c r="BC83" s="82" t="e">
        <f t="shared" si="31"/>
        <v>#VALUE!</v>
      </c>
      <c r="BD83" s="82">
        <f t="shared" si="31"/>
        <v>3372.8846546105633</v>
      </c>
      <c r="BE83" s="82">
        <f t="shared" si="31"/>
        <v>1352.1004404148625</v>
      </c>
      <c r="BF83" s="82">
        <f t="shared" si="31"/>
        <v>-609.15088748833659</v>
      </c>
    </row>
    <row r="84" spans="2:58">
      <c r="B84" s="59" t="s">
        <v>316</v>
      </c>
      <c r="C84" s="129" t="s">
        <v>24</v>
      </c>
      <c r="D84" s="73">
        <f>SUM(D76:D81)</f>
        <v>56.513000000000005</v>
      </c>
      <c r="E84" s="73">
        <f t="shared" ref="E84:M84" si="32">SUM(E76:E81)</f>
        <v>60.341000000000008</v>
      </c>
      <c r="F84" s="73">
        <f t="shared" si="32"/>
        <v>56.736000000000004</v>
      </c>
      <c r="G84" s="73">
        <f t="shared" si="32"/>
        <v>59.504999999999995</v>
      </c>
      <c r="H84" s="73">
        <f t="shared" si="32"/>
        <v>56.159000000000006</v>
      </c>
      <c r="I84" s="73">
        <f t="shared" si="32"/>
        <v>48.731999999999999</v>
      </c>
      <c r="J84" s="73">
        <f t="shared" si="32"/>
        <v>48.731999999999999</v>
      </c>
      <c r="K84" s="73">
        <f t="shared" si="32"/>
        <v>46.855999999999995</v>
      </c>
      <c r="L84" s="73">
        <f t="shared" si="32"/>
        <v>47.960999999999999</v>
      </c>
      <c r="M84" s="73">
        <f t="shared" si="32"/>
        <v>56.634999999999991</v>
      </c>
      <c r="AO84" s="133" t="s">
        <v>668</v>
      </c>
      <c r="AP84" s="82"/>
      <c r="AQ84" s="82"/>
      <c r="AR84" s="82"/>
      <c r="AS84" s="82"/>
      <c r="AT84" s="82"/>
      <c r="AU84" s="82"/>
      <c r="AV84" s="82"/>
      <c r="AW84" s="82"/>
      <c r="AX84" s="82"/>
      <c r="AY84" s="82"/>
      <c r="AZ84" s="82"/>
      <c r="BA84" s="82"/>
      <c r="BB84" s="82"/>
      <c r="BC84" s="82"/>
      <c r="BD84" s="82"/>
      <c r="BE84" s="82"/>
      <c r="BF84" s="82"/>
    </row>
    <row r="85" spans="2:58">
      <c r="B85" s="59" t="s">
        <v>317</v>
      </c>
      <c r="C85" s="129" t="s">
        <v>24</v>
      </c>
      <c r="D85" s="73">
        <f>SUM(D82:D83)</f>
        <v>51.12</v>
      </c>
      <c r="E85" s="73">
        <f t="shared" ref="E85:M85" si="33">SUM(E82:E83)</f>
        <v>51.12</v>
      </c>
      <c r="F85" s="73">
        <f t="shared" si="33"/>
        <v>51.12</v>
      </c>
      <c r="G85" s="73">
        <f t="shared" si="33"/>
        <v>25.56</v>
      </c>
      <c r="H85" s="73">
        <f t="shared" si="33"/>
        <v>18.744</v>
      </c>
      <c r="I85" s="73">
        <f t="shared" si="33"/>
        <v>18.744</v>
      </c>
      <c r="J85" s="73">
        <f t="shared" si="33"/>
        <v>15.335999999999999</v>
      </c>
      <c r="K85" s="73">
        <f t="shared" si="33"/>
        <v>11.927999999999999</v>
      </c>
      <c r="L85" s="73">
        <f t="shared" si="33"/>
        <v>51.12</v>
      </c>
      <c r="M85" s="73">
        <f t="shared" si="33"/>
        <v>51.12</v>
      </c>
      <c r="AO85" s="130" t="s">
        <v>609</v>
      </c>
      <c r="AP85" s="82" t="e">
        <f>AP66-$BE$66</f>
        <v>#VALUE!</v>
      </c>
      <c r="AQ85" s="82" t="e">
        <f t="shared" ref="AQ85:BF85" si="34">AQ66-$BE$66</f>
        <v>#VALUE!</v>
      </c>
      <c r="AR85" s="82">
        <f t="shared" si="34"/>
        <v>-1968.195792655526</v>
      </c>
      <c r="AS85" s="82" t="e">
        <f t="shared" si="34"/>
        <v>#VALUE!</v>
      </c>
      <c r="AT85" s="82">
        <f t="shared" si="34"/>
        <v>-1745.0695720160147</v>
      </c>
      <c r="AU85" s="82" t="e">
        <f t="shared" si="34"/>
        <v>#VALUE!</v>
      </c>
      <c r="AV85" s="82">
        <f t="shared" si="34"/>
        <v>48.663965679821558</v>
      </c>
      <c r="AW85" s="82" t="e">
        <f t="shared" si="34"/>
        <v>#VALUE!</v>
      </c>
      <c r="AX85" s="82">
        <f t="shared" si="34"/>
        <v>625.60215340562718</v>
      </c>
      <c r="AY85" s="82" t="e">
        <f t="shared" si="34"/>
        <v>#VALUE!</v>
      </c>
      <c r="AZ85" s="82">
        <f t="shared" si="34"/>
        <v>1826.8508902552494</v>
      </c>
      <c r="BA85" s="82" t="e">
        <f t="shared" si="34"/>
        <v>#VALUE!</v>
      </c>
      <c r="BB85" s="82">
        <f t="shared" si="34"/>
        <v>1270.9567106359609</v>
      </c>
      <c r="BC85" s="82">
        <f t="shared" si="34"/>
        <v>5781.7445676440548</v>
      </c>
      <c r="BD85" s="82">
        <f t="shared" si="34"/>
        <v>2020.784214195708</v>
      </c>
      <c r="BE85" s="82">
        <f t="shared" si="34"/>
        <v>0</v>
      </c>
      <c r="BF85" s="82">
        <f t="shared" si="34"/>
        <v>-1961.2513279031919</v>
      </c>
    </row>
    <row r="86" spans="2:58">
      <c r="B86" s="59" t="s">
        <v>318</v>
      </c>
      <c r="C86" s="129" t="s">
        <v>24</v>
      </c>
      <c r="D86" s="73">
        <f>SUM(D84:D85)</f>
        <v>107.63300000000001</v>
      </c>
      <c r="E86" s="73">
        <f t="shared" ref="E86:M86" si="35">SUM(E84:E85)</f>
        <v>111.46100000000001</v>
      </c>
      <c r="F86" s="73">
        <f t="shared" si="35"/>
        <v>107.85599999999999</v>
      </c>
      <c r="G86" s="73">
        <f t="shared" si="35"/>
        <v>85.064999999999998</v>
      </c>
      <c r="H86" s="73">
        <f t="shared" si="35"/>
        <v>74.903000000000006</v>
      </c>
      <c r="I86" s="73">
        <f t="shared" si="35"/>
        <v>67.475999999999999</v>
      </c>
      <c r="J86" s="73">
        <f t="shared" si="35"/>
        <v>64.067999999999998</v>
      </c>
      <c r="K86" s="73">
        <f t="shared" si="35"/>
        <v>58.783999999999992</v>
      </c>
      <c r="L86" s="73">
        <f t="shared" si="35"/>
        <v>99.080999999999989</v>
      </c>
      <c r="M86" s="73">
        <f t="shared" si="35"/>
        <v>107.755</v>
      </c>
      <c r="AO86" s="130" t="s">
        <v>610</v>
      </c>
      <c r="AP86" s="82" t="e">
        <f t="shared" ref="AP86:BF87" si="36">AP67-$BE$66</f>
        <v>#VALUE!</v>
      </c>
      <c r="AQ86" s="82" t="e">
        <f t="shared" si="36"/>
        <v>#VALUE!</v>
      </c>
      <c r="AR86" s="82">
        <f t="shared" si="36"/>
        <v>-1811.9658614581567</v>
      </c>
      <c r="AS86" s="82" t="e">
        <f t="shared" si="36"/>
        <v>#VALUE!</v>
      </c>
      <c r="AT86" s="82">
        <f t="shared" si="36"/>
        <v>-1588.8396408186454</v>
      </c>
      <c r="AU86" s="82" t="e">
        <f t="shared" si="36"/>
        <v>#VALUE!</v>
      </c>
      <c r="AV86" s="82">
        <f t="shared" si="36"/>
        <v>204.89389687719085</v>
      </c>
      <c r="AW86" s="82" t="e">
        <f t="shared" si="36"/>
        <v>#VALUE!</v>
      </c>
      <c r="AX86" s="82">
        <f t="shared" si="36"/>
        <v>781.83208460299647</v>
      </c>
      <c r="AY86" s="82" t="e">
        <f t="shared" si="36"/>
        <v>#VALUE!</v>
      </c>
      <c r="AZ86" s="82">
        <f t="shared" si="36"/>
        <v>1983.0808214526187</v>
      </c>
      <c r="BA86" s="82" t="e">
        <f t="shared" si="36"/>
        <v>#VALUE!</v>
      </c>
      <c r="BB86" s="82">
        <f t="shared" si="36"/>
        <v>1427.1866418333302</v>
      </c>
      <c r="BC86" s="82">
        <f t="shared" si="36"/>
        <v>6068.1661081725688</v>
      </c>
      <c r="BD86" s="82">
        <f t="shared" si="36"/>
        <v>2177.0141453930773</v>
      </c>
      <c r="BE86" s="82">
        <f t="shared" si="36"/>
        <v>156.2299311973693</v>
      </c>
      <c r="BF86" s="82">
        <f t="shared" si="36"/>
        <v>-1805.0213967058226</v>
      </c>
    </row>
    <row r="87" spans="2:58">
      <c r="B87" s="165" t="s">
        <v>785</v>
      </c>
      <c r="C87" s="129" t="s">
        <v>450</v>
      </c>
      <c r="D87" s="73">
        <f>$C$92*(D86^2)+(D86*$C$93)+$C$94</f>
        <v>40.591058556399986</v>
      </c>
      <c r="E87" s="53">
        <f>E27</f>
        <v>40.159999999999997</v>
      </c>
      <c r="F87" s="73">
        <f>$C$92*(F86^2)+(F86*$C$93)+$C$94</f>
        <v>40.575501273599997</v>
      </c>
      <c r="G87" s="73">
        <f>$C$92*(G86^2)+(G86*$C$93)+$C$94</f>
        <v>35.787577110000029</v>
      </c>
      <c r="H87" s="53">
        <f>K27</f>
        <v>29.35</v>
      </c>
      <c r="I87" s="53">
        <f>M27</f>
        <v>24.24</v>
      </c>
      <c r="J87" s="53">
        <f>O27</f>
        <v>18.89</v>
      </c>
      <c r="K87" s="53">
        <f>Q27</f>
        <v>14.57</v>
      </c>
      <c r="L87" s="73">
        <f>$C$92*(L86^2)+(L86*$C$93)+$C$94</f>
        <v>40.257133743600065</v>
      </c>
      <c r="M87" s="73">
        <f>$C$92*(M86^2)+(M86*$C$93)+$C$94</f>
        <v>40.582700190000054</v>
      </c>
      <c r="AO87" s="130" t="s">
        <v>611</v>
      </c>
      <c r="AP87" s="82" t="e">
        <f t="shared" si="36"/>
        <v>#VALUE!</v>
      </c>
      <c r="AQ87" s="82" t="e">
        <f t="shared" si="36"/>
        <v>#VALUE!</v>
      </c>
      <c r="AR87" s="82">
        <f t="shared" si="36"/>
        <v>-1655.7359302607874</v>
      </c>
      <c r="AS87" s="82" t="e">
        <f t="shared" si="36"/>
        <v>#VALUE!</v>
      </c>
      <c r="AT87" s="82">
        <f t="shared" si="36"/>
        <v>-1432.6097096212688</v>
      </c>
      <c r="AU87" s="82" t="e">
        <f t="shared" si="36"/>
        <v>#VALUE!</v>
      </c>
      <c r="AV87" s="82">
        <f t="shared" si="36"/>
        <v>361.12382807456743</v>
      </c>
      <c r="AW87" s="82" t="e">
        <f t="shared" si="36"/>
        <v>#VALUE!</v>
      </c>
      <c r="AX87" s="82">
        <f t="shared" si="36"/>
        <v>938.06201580036577</v>
      </c>
      <c r="AY87" s="82" t="e">
        <f t="shared" si="36"/>
        <v>#VALUE!</v>
      </c>
      <c r="AZ87" s="82">
        <f t="shared" si="36"/>
        <v>2139.310752649988</v>
      </c>
      <c r="BA87" s="82" t="e">
        <f t="shared" si="36"/>
        <v>#VALUE!</v>
      </c>
      <c r="BB87" s="82">
        <f t="shared" si="36"/>
        <v>1583.4165730306995</v>
      </c>
      <c r="BC87" s="82" t="e">
        <f t="shared" si="36"/>
        <v>#VALUE!</v>
      </c>
      <c r="BD87" s="82">
        <f t="shared" si="36"/>
        <v>2333.2440765904466</v>
      </c>
      <c r="BE87" s="82">
        <f t="shared" si="36"/>
        <v>312.45986239473859</v>
      </c>
      <c r="BF87" s="82">
        <f t="shared" si="36"/>
        <v>-1648.7914655084533</v>
      </c>
    </row>
    <row r="88" spans="2:58">
      <c r="AO88" s="130" t="s">
        <v>611</v>
      </c>
      <c r="AP88" s="82" t="e">
        <f t="shared" ref="AP88:BF88" si="37">AP68-$BE$66</f>
        <v>#VALUE!</v>
      </c>
      <c r="AQ88" s="82" t="e">
        <f t="shared" si="37"/>
        <v>#VALUE!</v>
      </c>
      <c r="AR88" s="82">
        <f t="shared" si="37"/>
        <v>-1655.7359302607874</v>
      </c>
      <c r="AS88" s="82" t="e">
        <f t="shared" si="37"/>
        <v>#VALUE!</v>
      </c>
      <c r="AT88" s="82">
        <f t="shared" si="37"/>
        <v>-1432.6097096212688</v>
      </c>
      <c r="AU88" s="82" t="e">
        <f t="shared" si="37"/>
        <v>#VALUE!</v>
      </c>
      <c r="AV88" s="82">
        <f t="shared" si="37"/>
        <v>361.12382807456743</v>
      </c>
      <c r="AW88" s="82" t="e">
        <f t="shared" si="37"/>
        <v>#VALUE!</v>
      </c>
      <c r="AX88" s="82">
        <f t="shared" si="37"/>
        <v>938.06201580036577</v>
      </c>
      <c r="AY88" s="82" t="e">
        <f t="shared" si="37"/>
        <v>#VALUE!</v>
      </c>
      <c r="AZ88" s="82">
        <f t="shared" si="37"/>
        <v>2139.310752649988</v>
      </c>
      <c r="BA88" s="82" t="e">
        <f t="shared" si="37"/>
        <v>#VALUE!</v>
      </c>
      <c r="BB88" s="82">
        <f t="shared" si="37"/>
        <v>1583.4165730306995</v>
      </c>
      <c r="BC88" s="82" t="e">
        <f t="shared" si="37"/>
        <v>#VALUE!</v>
      </c>
      <c r="BD88" s="82">
        <f t="shared" si="37"/>
        <v>2333.2440765904466</v>
      </c>
      <c r="BE88" s="82">
        <f t="shared" si="37"/>
        <v>312.45986239473859</v>
      </c>
      <c r="BF88" s="82">
        <f t="shared" si="37"/>
        <v>-1648.7914655084533</v>
      </c>
    </row>
    <row r="89" spans="2:58">
      <c r="B89" s="1" t="s">
        <v>390</v>
      </c>
      <c r="AO89" s="130" t="s">
        <v>612</v>
      </c>
      <c r="AP89" s="82" t="e">
        <f t="shared" ref="AP89:BF89" si="38">AP69-$BE$66</f>
        <v>#VALUE!</v>
      </c>
      <c r="AQ89" s="82" t="e">
        <f t="shared" si="38"/>
        <v>#VALUE!</v>
      </c>
      <c r="AR89" s="82">
        <f t="shared" si="38"/>
        <v>-1499.5059990634181</v>
      </c>
      <c r="AS89" s="82" t="e">
        <f t="shared" si="38"/>
        <v>#VALUE!</v>
      </c>
      <c r="AT89" s="82">
        <f t="shared" si="38"/>
        <v>-1276.3797784238996</v>
      </c>
      <c r="AU89" s="82" t="e">
        <f t="shared" si="38"/>
        <v>#VALUE!</v>
      </c>
      <c r="AV89" s="82">
        <f t="shared" si="38"/>
        <v>517.35375927193672</v>
      </c>
      <c r="AW89" s="82" t="e">
        <f t="shared" si="38"/>
        <v>#VALUE!</v>
      </c>
      <c r="AX89" s="82">
        <f t="shared" si="38"/>
        <v>1094.2919469977423</v>
      </c>
      <c r="AY89" s="82" t="e">
        <f t="shared" si="38"/>
        <v>#VALUE!</v>
      </c>
      <c r="AZ89" s="82">
        <f t="shared" si="38"/>
        <v>2295.5406838473573</v>
      </c>
      <c r="BA89" s="82" t="e">
        <f t="shared" si="38"/>
        <v>#VALUE!</v>
      </c>
      <c r="BB89" s="82">
        <f t="shared" si="38"/>
        <v>1739.6465042280688</v>
      </c>
      <c r="BC89" s="82" t="e">
        <f t="shared" si="38"/>
        <v>#VALUE!</v>
      </c>
      <c r="BD89" s="82">
        <f t="shared" si="38"/>
        <v>2489.4740077878159</v>
      </c>
      <c r="BE89" s="82">
        <f t="shared" si="38"/>
        <v>468.68979359211517</v>
      </c>
      <c r="BF89" s="82">
        <f t="shared" si="38"/>
        <v>-1492.561534311084</v>
      </c>
    </row>
    <row r="90" spans="2:58">
      <c r="B90" t="s">
        <v>391</v>
      </c>
      <c r="AO90" s="130" t="s">
        <v>613</v>
      </c>
      <c r="AP90" s="82" t="e">
        <f t="shared" ref="AP90:BF90" si="39">AP70-$BE$66</f>
        <v>#VALUE!</v>
      </c>
      <c r="AQ90" s="82" t="e">
        <f t="shared" si="39"/>
        <v>#VALUE!</v>
      </c>
      <c r="AR90" s="82">
        <f t="shared" si="39"/>
        <v>-1343.2760678660416</v>
      </c>
      <c r="AS90" s="82" t="e">
        <f t="shared" si="39"/>
        <v>#VALUE!</v>
      </c>
      <c r="AT90" s="82">
        <f t="shared" si="39"/>
        <v>-1120.1498472265303</v>
      </c>
      <c r="AU90" s="82" t="e">
        <f t="shared" si="39"/>
        <v>#VALUE!</v>
      </c>
      <c r="AV90" s="82">
        <f t="shared" si="39"/>
        <v>673.58369046930602</v>
      </c>
      <c r="AW90" s="82" t="e">
        <f t="shared" si="39"/>
        <v>#VALUE!</v>
      </c>
      <c r="AX90" s="82">
        <f t="shared" si="39"/>
        <v>1250.5218781951116</v>
      </c>
      <c r="AY90" s="82" t="e">
        <f t="shared" si="39"/>
        <v>#VALUE!</v>
      </c>
      <c r="AZ90" s="82">
        <f t="shared" si="39"/>
        <v>2451.7706150447266</v>
      </c>
      <c r="BA90" s="82" t="e">
        <f t="shared" si="39"/>
        <v>#VALUE!</v>
      </c>
      <c r="BB90" s="82">
        <f t="shared" si="39"/>
        <v>1895.8764354254381</v>
      </c>
      <c r="BC90" s="82" t="e">
        <f t="shared" si="39"/>
        <v>#VALUE!</v>
      </c>
      <c r="BD90" s="82">
        <f t="shared" si="39"/>
        <v>2645.7039389851852</v>
      </c>
      <c r="BE90" s="82">
        <f t="shared" si="39"/>
        <v>624.91972478948446</v>
      </c>
      <c r="BF90" s="82">
        <f t="shared" si="39"/>
        <v>-1336.3316031137147</v>
      </c>
    </row>
    <row r="91" spans="2:58">
      <c r="B91" t="s">
        <v>392</v>
      </c>
      <c r="AO91" s="130" t="s">
        <v>614</v>
      </c>
      <c r="AP91" s="82" t="e">
        <f t="shared" ref="AP91:BF91" si="40">AP71-$BE$66</f>
        <v>#VALUE!</v>
      </c>
      <c r="AQ91" s="82" t="e">
        <f t="shared" si="40"/>
        <v>#VALUE!</v>
      </c>
      <c r="AR91" s="82">
        <f t="shared" si="40"/>
        <v>-1187.0461366686723</v>
      </c>
      <c r="AS91" s="82" t="e">
        <f t="shared" si="40"/>
        <v>#VALUE!</v>
      </c>
      <c r="AT91" s="82">
        <f t="shared" si="40"/>
        <v>-963.91991602916096</v>
      </c>
      <c r="AU91" s="82" t="e">
        <f t="shared" si="40"/>
        <v>#VALUE!</v>
      </c>
      <c r="AV91" s="82">
        <f t="shared" si="40"/>
        <v>829.81362166667532</v>
      </c>
      <c r="AW91" s="82" t="e">
        <f t="shared" si="40"/>
        <v>#VALUE!</v>
      </c>
      <c r="AX91" s="82">
        <f t="shared" si="40"/>
        <v>1406.7518093924809</v>
      </c>
      <c r="AY91" s="82" t="e">
        <f t="shared" si="40"/>
        <v>#VALUE!</v>
      </c>
      <c r="AZ91" s="82">
        <f t="shared" si="40"/>
        <v>2608.0005462420959</v>
      </c>
      <c r="BA91" s="82" t="e">
        <f t="shared" si="40"/>
        <v>#VALUE!</v>
      </c>
      <c r="BB91" s="82">
        <f t="shared" si="40"/>
        <v>2052.1063666228074</v>
      </c>
      <c r="BC91" s="82" t="e">
        <f t="shared" si="40"/>
        <v>#VALUE!</v>
      </c>
      <c r="BD91" s="82">
        <f t="shared" si="40"/>
        <v>2801.9338701825618</v>
      </c>
      <c r="BE91" s="82">
        <f t="shared" si="40"/>
        <v>781.14965598685376</v>
      </c>
      <c r="BF91" s="82">
        <f t="shared" si="40"/>
        <v>-1180.1016719163454</v>
      </c>
    </row>
    <row r="92" spans="2:58">
      <c r="B92" t="s">
        <v>393</v>
      </c>
      <c r="C92" s="160">
        <v>-1.24E-2</v>
      </c>
      <c r="AO92" s="130" t="s">
        <v>615</v>
      </c>
      <c r="AP92" s="82" t="e">
        <f t="shared" ref="AP92:BF92" si="41">AP72-$BE$66</f>
        <v>#VALUE!</v>
      </c>
      <c r="AQ92" s="82" t="e">
        <f t="shared" si="41"/>
        <v>#VALUE!</v>
      </c>
      <c r="AR92" s="82">
        <f t="shared" si="41"/>
        <v>-405.89648068182578</v>
      </c>
      <c r="AS92" s="82" t="e">
        <f t="shared" si="41"/>
        <v>#VALUE!</v>
      </c>
      <c r="AT92" s="82">
        <f t="shared" si="41"/>
        <v>-182.7702600423072</v>
      </c>
      <c r="AU92" s="82" t="e">
        <f t="shared" si="41"/>
        <v>#VALUE!</v>
      </c>
      <c r="AV92" s="82">
        <f t="shared" si="41"/>
        <v>1610.9632776535291</v>
      </c>
      <c r="AW92" s="82" t="e">
        <f t="shared" si="41"/>
        <v>#VALUE!</v>
      </c>
      <c r="AX92" s="82">
        <f t="shared" si="41"/>
        <v>2187.9014653793274</v>
      </c>
      <c r="AY92" s="82" t="e">
        <f t="shared" si="41"/>
        <v>#VALUE!</v>
      </c>
      <c r="AZ92" s="82">
        <f t="shared" si="41"/>
        <v>3389.1502022289496</v>
      </c>
      <c r="BA92" s="82" t="e">
        <f t="shared" si="41"/>
        <v>#VALUE!</v>
      </c>
      <c r="BB92" s="82">
        <f t="shared" si="41"/>
        <v>2833.2560226096612</v>
      </c>
      <c r="BC92" s="82" t="e">
        <f t="shared" si="41"/>
        <v>#VALUE!</v>
      </c>
      <c r="BD92" s="82">
        <f t="shared" si="41"/>
        <v>3583.0835261694083</v>
      </c>
      <c r="BE92" s="82">
        <f t="shared" si="41"/>
        <v>1562.2993119737075</v>
      </c>
      <c r="BF92" s="82">
        <f t="shared" si="41"/>
        <v>-398.95201592949161</v>
      </c>
    </row>
    <row r="93" spans="2:58">
      <c r="B93" t="s">
        <v>394</v>
      </c>
      <c r="C93" s="160">
        <v>2.6023000000000001</v>
      </c>
    </row>
    <row r="94" spans="2:58">
      <c r="B94" t="s">
        <v>395</v>
      </c>
      <c r="C94" s="160">
        <v>-95.85</v>
      </c>
      <c r="AO94" s="11" t="s">
        <v>717</v>
      </c>
    </row>
    <row r="95" spans="2:58" ht="72">
      <c r="AO95" s="144" t="s">
        <v>16</v>
      </c>
      <c r="AP95" s="117" t="s">
        <v>343</v>
      </c>
      <c r="AQ95" s="117" t="s">
        <v>435</v>
      </c>
      <c r="AR95" s="117" t="s">
        <v>436</v>
      </c>
      <c r="AS95" s="117" t="s">
        <v>437</v>
      </c>
      <c r="AT95" s="117" t="s">
        <v>438</v>
      </c>
      <c r="AU95" s="117" t="s">
        <v>439</v>
      </c>
      <c r="AV95" s="117" t="s">
        <v>440</v>
      </c>
      <c r="AW95" s="117" t="s">
        <v>441</v>
      </c>
      <c r="AX95" s="117" t="s">
        <v>442</v>
      </c>
      <c r="AY95" s="117" t="s">
        <v>443</v>
      </c>
      <c r="AZ95" s="117" t="s">
        <v>444</v>
      </c>
      <c r="BA95" s="117" t="s">
        <v>445</v>
      </c>
      <c r="BB95" s="117" t="s">
        <v>446</v>
      </c>
      <c r="BC95" s="117" t="s">
        <v>447</v>
      </c>
      <c r="BD95" s="117" t="s">
        <v>677</v>
      </c>
      <c r="BE95" s="117" t="s">
        <v>351</v>
      </c>
      <c r="BF95" s="117" t="s">
        <v>791</v>
      </c>
    </row>
    <row r="96" spans="2:58">
      <c r="AO96" s="133" t="s">
        <v>667</v>
      </c>
      <c r="AP96" s="132"/>
      <c r="AQ96" s="132"/>
      <c r="AR96" s="132"/>
      <c r="AS96" s="132"/>
      <c r="AT96" s="132"/>
      <c r="AU96" s="132"/>
      <c r="AV96" s="132"/>
      <c r="AW96" s="132"/>
      <c r="AX96" s="132"/>
      <c r="AY96" s="132"/>
      <c r="AZ96" s="132"/>
      <c r="BA96" s="132"/>
      <c r="BB96" s="132"/>
      <c r="BC96" s="132"/>
      <c r="BD96" s="132"/>
      <c r="BE96" s="132"/>
      <c r="BF96" s="132"/>
    </row>
    <row r="97" spans="2:58">
      <c r="B97" s="1" t="s">
        <v>715</v>
      </c>
      <c r="AO97" s="130" t="s">
        <v>609</v>
      </c>
      <c r="AP97" s="82" cm="1">
        <f t="array" ref="AP97">AP58-MIN(IF(ISNUMBER($AP$58:$BE$58),$AP$58:$BE$58))</f>
        <v>3350.8129057918268</v>
      </c>
      <c r="AQ97" s="82" cm="1">
        <f t="array" ref="AQ97">AQ58-MIN(IF(ISNUMBER($AP$58:$BE$58),$AP$58:$BE$58))</f>
        <v>2775.4265165065663</v>
      </c>
      <c r="AR97" s="82" cm="1">
        <f t="array" ref="AR97">AR58-MIN(IF(ISNUMBER($AP$58:$BE$58),$AP$58:$BE$58))</f>
        <v>0</v>
      </c>
      <c r="AS97" s="82" cm="1">
        <f t="array" ref="AS97">AS58-MIN(IF(ISNUMBER($AP$58:$BE$58),$AP$58:$BE$58))</f>
        <v>3030.0684428392851</v>
      </c>
      <c r="AT97" s="82" cm="1">
        <f t="array" ref="AT97">AT58-MIN(IF(ISNUMBER($AP$58:$BE$58),$AP$58:$BE$58))</f>
        <v>214.59999999999854</v>
      </c>
      <c r="AU97" s="82" cm="1">
        <f t="array" ref="AU97">AU58-MIN(IF(ISNUMBER($AP$58:$BE$58),$AP$58:$BE$58))</f>
        <v>4441.0488760936714</v>
      </c>
      <c r="AV97" s="82" cm="1">
        <f t="array" ref="AV97">AV58-MIN(IF(ISNUMBER($AP$58:$BE$58),$AP$58:$BE$58))</f>
        <v>1730</v>
      </c>
      <c r="AW97" s="82" cm="1">
        <f t="array" ref="AW97">AW58-MIN(IF(ISNUMBER($AP$58:$BE$58),$AP$58:$BE$58))</f>
        <v>4498.3125956547447</v>
      </c>
      <c r="AX97" s="82" cm="1">
        <f t="array" ref="AX97">AX58-MIN(IF(ISNUMBER($AP$58:$BE$58),$AP$58:$BE$58))</f>
        <v>2414.3999999999942</v>
      </c>
      <c r="AY97" s="82" cm="1">
        <f t="array" ref="AY97">AY58-MIN(IF(ISNUMBER($AP$58:$BE$58),$AP$58:$BE$58))</f>
        <v>5291.061052035162</v>
      </c>
      <c r="AZ97" s="82" cm="1">
        <f t="array" ref="AZ97">AZ58-MIN(IF(ISNUMBER($AP$58:$BE$58),$AP$58:$BE$58))</f>
        <v>3699.5999999999985</v>
      </c>
      <c r="BA97" s="82" cm="1">
        <f t="array" ref="BA97">BA58-MIN(IF(ISNUMBER($AP$58:$BE$58),$AP$58:$BE$58))</f>
        <v>4307.4806687935343</v>
      </c>
      <c r="BB97" s="82" cm="1">
        <f t="array" ref="BB97">BB58-MIN(IF(ISNUMBER($AP$58:$BE$58),$AP$58:$BE$58))</f>
        <v>3231.5999999999985</v>
      </c>
      <c r="BC97" s="82" cm="1">
        <f t="array" ref="BC97">BC58-MIN(IF(ISNUMBER($AP$58:$BE$58),$AP$58:$BE$58))</f>
        <v>4711.9615555965429</v>
      </c>
      <c r="BD97" s="82" cm="1">
        <f t="array" ref="BD97">BD58-MIN(IF(ISNUMBER($AP$58:$BE$58),$AP$58:$BE$58))</f>
        <v>4052.3999999999942</v>
      </c>
      <c r="BE97" s="82" cm="1">
        <f t="array" ref="BE97">BE58-MIN(IF(ISNUMBER($AP$58:$BE$58),$AP$58:$BE$58))</f>
        <v>1966.5999999999985</v>
      </c>
      <c r="BF97" s="82" cm="1">
        <f t="array" ref="BF97">BF58-MIN(IF(ISNUMBER($AP$58:$BF$58),$AP$58:$BF$58))</f>
        <v>0</v>
      </c>
    </row>
    <row r="98" spans="2:58">
      <c r="B98" t="s">
        <v>722</v>
      </c>
      <c r="AO98" s="130" t="s">
        <v>610</v>
      </c>
      <c r="AP98" s="82" cm="1">
        <f t="array" ref="AP98">AP59-MIN(IF(ISNUMBER($AP$58:$BE$58),$AP$58:$BE$58))</f>
        <v>3794.7207869864651</v>
      </c>
      <c r="AQ98" s="82" cm="1">
        <f t="array" ref="AQ98">AQ59-MIN(IF(ISNUMBER($AP$58:$BE$58),$AP$58:$BE$58))</f>
        <v>4288.7797291188836</v>
      </c>
      <c r="AR98" s="82" cm="1">
        <f t="array" ref="AR98">AR59-MIN(IF(ISNUMBER($AP$58:$BE$58),$AP$58:$BE$58))</f>
        <v>0</v>
      </c>
      <c r="AS98" s="82" cm="1">
        <f t="array" ref="AS98">AS59-MIN(IF(ISNUMBER($AP$58:$BE$58),$AP$58:$BE$58))</f>
        <v>4576.7899273955409</v>
      </c>
      <c r="AT98" s="82" cm="1">
        <f t="array" ref="AT98">AT59-MIN(IF(ISNUMBER($AP$58:$BE$58),$AP$58:$BE$58))</f>
        <v>214.59999999999854</v>
      </c>
      <c r="AU98" s="82" cm="1">
        <f t="array" ref="AU98">AU59-MIN(IF(ISNUMBER($AP$58:$BE$58),$AP$58:$BE$58))</f>
        <v>5900.7540550285848</v>
      </c>
      <c r="AV98" s="82" cm="1">
        <f t="array" ref="AV98">AV59-MIN(IF(ISNUMBER($AP$58:$BE$58),$AP$58:$BE$58))</f>
        <v>1730</v>
      </c>
      <c r="AW98" s="82" cm="1">
        <f t="array" ref="AW98">AW59-MIN(IF(ISNUMBER($AP$58:$BE$58),$AP$58:$BE$58))</f>
        <v>4942.2204768493903</v>
      </c>
      <c r="AX98" s="82" cm="1">
        <f t="array" ref="AX98">AX59-MIN(IF(ISNUMBER($AP$58:$BE$58),$AP$58:$BE$58))</f>
        <v>2414.3999999999942</v>
      </c>
      <c r="AY98" s="82" cm="1">
        <f t="array" ref="AY98">AY59-MIN(IF(ISNUMBER($AP$58:$BE$58),$AP$58:$BE$58))</f>
        <v>5734.9689332298076</v>
      </c>
      <c r="AZ98" s="82" cm="1">
        <f t="array" ref="AZ98">AZ59-MIN(IF(ISNUMBER($AP$58:$BE$58),$AP$58:$BE$58))</f>
        <v>3699.5999999999985</v>
      </c>
      <c r="BA98" s="82" cm="1">
        <f t="array" ref="BA98">BA59-MIN(IF(ISNUMBER($AP$58:$BE$58),$AP$58:$BE$58))</f>
        <v>4751.3885499881726</v>
      </c>
      <c r="BB98" s="82" cm="1">
        <f t="array" ref="BB98">BB59-MIN(IF(ISNUMBER($AP$58:$BE$58),$AP$58:$BE$58))</f>
        <v>3231.5999999999985</v>
      </c>
      <c r="BC98" s="82" cm="1">
        <f t="array" ref="BC98">BC59-MIN(IF(ISNUMBER($AP$58:$BE$58),$AP$58:$BE$58))</f>
        <v>5155.8694367911885</v>
      </c>
      <c r="BD98" s="82" cm="1">
        <f t="array" ref="BD98">BD59-MIN(IF(ISNUMBER($AP$58:$BE$58),$AP$58:$BE$58))</f>
        <v>4052.3999999999942</v>
      </c>
      <c r="BE98" s="82" cm="1">
        <f t="array" ref="BE98">BE59-MIN(IF(ISNUMBER($AP$58:$BE$58),$AP$58:$BE$58))</f>
        <v>1966.5999999999985</v>
      </c>
      <c r="BF98" s="82" cm="1">
        <f t="array" ref="BF98">BF59-MIN(IF(ISNUMBER($AP$58:$BF$58),$AP$58:$BF$58))</f>
        <v>0</v>
      </c>
    </row>
    <row r="99" spans="2:58" s="150" customFormat="1" ht="57.6">
      <c r="C99" s="149" t="str">
        <f>D2</f>
        <v>Fabric Standard</v>
      </c>
      <c r="D99" s="119" t="str">
        <f t="shared" ref="D99:T99" si="42">D3</f>
        <v>Part L 21</v>
      </c>
      <c r="E99" s="119" t="str">
        <f t="shared" si="42"/>
        <v xml:space="preserve">Notional Building C&amp;B </v>
      </c>
      <c r="F99" s="119" t="str">
        <f t="shared" si="42"/>
        <v xml:space="preserve">Notional Building C&amp;B </v>
      </c>
      <c r="G99" s="119" t="str">
        <f t="shared" si="42"/>
        <v>35 kWh/m2.year</v>
      </c>
      <c r="H99" s="119" t="str">
        <f t="shared" si="42"/>
        <v>35 kWh/m2.year</v>
      </c>
      <c r="I99" s="119" t="str">
        <f t="shared" si="42"/>
        <v>35 kWh/m2.year</v>
      </c>
      <c r="J99" s="119" t="str">
        <f t="shared" si="42"/>
        <v>35 kWh/m2.year</v>
      </c>
      <c r="K99" s="119" t="str">
        <f t="shared" si="42"/>
        <v>30 kWh/m2.year</v>
      </c>
      <c r="L99" s="119" t="str">
        <f t="shared" si="42"/>
        <v>30 kWh/m2.year</v>
      </c>
      <c r="M99" s="119" t="str">
        <f t="shared" si="42"/>
        <v>25 kWh/m2.year</v>
      </c>
      <c r="N99" s="119" t="str">
        <f t="shared" si="42"/>
        <v>25 kWh/m2.year</v>
      </c>
      <c r="O99" s="119" t="str">
        <f t="shared" si="42"/>
        <v>20 kWh/m2.year</v>
      </c>
      <c r="P99" s="119" t="str">
        <f t="shared" si="42"/>
        <v>20 kWh/m2.year</v>
      </c>
      <c r="Q99" s="119" t="str">
        <f t="shared" si="42"/>
        <v>15 kWh/m2.year (Passivhaus)</v>
      </c>
      <c r="R99" s="119" t="str">
        <f t="shared" si="42"/>
        <v>15 kWh/m2.year (Passivhaus)</v>
      </c>
      <c r="S99" s="119" t="str">
        <f t="shared" si="42"/>
        <v>FHS</v>
      </c>
      <c r="T99" s="119" t="str">
        <f t="shared" si="42"/>
        <v>Bespoke</v>
      </c>
      <c r="V99" s="151"/>
      <c r="AO99" s="152" t="s">
        <v>611</v>
      </c>
      <c r="AP99" s="82" cm="1">
        <f t="array" ref="AP99">AP60-MIN(IF(ISNUMBER($AP$58:$BE$58),$AP$58:$BE$58))</f>
        <v>5327.3192249987042</v>
      </c>
      <c r="AQ99" s="82" cm="1">
        <f t="array" ref="AQ99">AQ60-MIN(IF(ISNUMBER($AP$58:$BE$58),$AP$58:$BE$58))</f>
        <v>5102.6108446424041</v>
      </c>
      <c r="AR99" s="82" cm="1">
        <f t="array" ref="AR99">AR60-MIN(IF(ISNUMBER($AP$58:$BE$58),$AP$58:$BE$58))</f>
        <v>0</v>
      </c>
      <c r="AS99" s="82" cm="1">
        <f t="array" ref="AS99">AS60-MIN(IF(ISNUMBER($AP$58:$BE$58),$AP$58:$BE$58))</f>
        <v>5390.6210429190542</v>
      </c>
      <c r="AT99" s="82" cm="1">
        <f t="array" ref="AT99">AT60-MIN(IF(ISNUMBER($AP$58:$BE$58),$AP$58:$BE$58))</f>
        <v>214.59999999999854</v>
      </c>
      <c r="AU99" s="82" cm="1">
        <f t="array" ref="AU99">AU60-MIN(IF(ISNUMBER($AP$58:$BE$58),$AP$58:$BE$58))</f>
        <v>6714.5851705520981</v>
      </c>
      <c r="AV99" s="82" cm="1">
        <f t="array" ref="AV99">AV60-MIN(IF(ISNUMBER($AP$58:$BE$58),$AP$58:$BE$58))</f>
        <v>1730</v>
      </c>
      <c r="AW99" s="82" cm="1">
        <f t="array" ref="AW99">AW60-MIN(IF(ISNUMBER($AP$58:$BE$58),$AP$58:$BE$58))</f>
        <v>5386.1283580440358</v>
      </c>
      <c r="AX99" s="82" cm="1">
        <f t="array" ref="AX99">AX60-MIN(IF(ISNUMBER($AP$58:$BE$58),$AP$58:$BE$58))</f>
        <v>2414.3999999999942</v>
      </c>
      <c r="AY99" s="82" cm="1">
        <f t="array" ref="AY99">AY60-MIN(IF(ISNUMBER($AP$58:$BE$58),$AP$58:$BE$58))</f>
        <v>6178.8768144244532</v>
      </c>
      <c r="AZ99" s="82" cm="1">
        <f t="array" ref="AZ99">AZ60-MIN(IF(ISNUMBER($AP$58:$BE$58),$AP$58:$BE$58))</f>
        <v>3699.5999999999985</v>
      </c>
      <c r="BA99" s="82" cm="1">
        <f t="array" ref="BA99">BA60-MIN(IF(ISNUMBER($AP$58:$BE$58),$AP$58:$BE$58))</f>
        <v>5195.2964311828182</v>
      </c>
      <c r="BB99" s="82" cm="1">
        <f t="array" ref="BB99">BB60-MIN(IF(ISNUMBER($AP$58:$BE$58),$AP$58:$BE$58))</f>
        <v>3231.5999999999985</v>
      </c>
      <c r="BC99" s="82" cm="1">
        <f t="array" ref="BC99">BC60-MIN(IF(ISNUMBER($AP$58:$BE$58),$AP$58:$BE$58))</f>
        <v>5599.7773179858341</v>
      </c>
      <c r="BD99" s="82" cm="1">
        <f t="array" ref="BD99">BD60-MIN(IF(ISNUMBER($AP$58:$BE$58),$AP$58:$BE$58))</f>
        <v>4052.3999999999942</v>
      </c>
      <c r="BE99" s="82" cm="1">
        <f t="array" ref="BE99">BE60-MIN(IF(ISNUMBER($AP$58:$BE$58),$AP$58:$BE$58))</f>
        <v>1966.5999999999985</v>
      </c>
      <c r="BF99" s="82" cm="1">
        <f t="array" ref="BF99">BF60-MIN(IF(ISNUMBER($AP$58:$BF$58),$AP$58:$BF$58))</f>
        <v>0</v>
      </c>
    </row>
    <row r="100" spans="2:58" s="150" customFormat="1">
      <c r="C100" s="149" t="str">
        <f>C4</f>
        <v>Gas / ASHP</v>
      </c>
      <c r="D100" s="119" t="str">
        <f t="shared" ref="D100:T100" si="43">D4</f>
        <v>Gas</v>
      </c>
      <c r="E100" s="119" t="str">
        <f t="shared" si="43"/>
        <v>Gas</v>
      </c>
      <c r="F100" s="119" t="str">
        <f t="shared" si="43"/>
        <v>ASHP</v>
      </c>
      <c r="G100" s="119" t="str">
        <f t="shared" si="43"/>
        <v>Gas</v>
      </c>
      <c r="H100" s="119" t="str">
        <f t="shared" si="43"/>
        <v>ASHP</v>
      </c>
      <c r="I100" s="119" t="str">
        <f t="shared" si="43"/>
        <v>Gas</v>
      </c>
      <c r="J100" s="119" t="str">
        <f t="shared" si="43"/>
        <v>ASHP</v>
      </c>
      <c r="K100" s="119" t="str">
        <f t="shared" si="43"/>
        <v>Gas</v>
      </c>
      <c r="L100" s="119" t="str">
        <f t="shared" si="43"/>
        <v>ASHP</v>
      </c>
      <c r="M100" s="119" t="str">
        <f t="shared" si="43"/>
        <v>Gas</v>
      </c>
      <c r="N100" s="119" t="str">
        <f t="shared" si="43"/>
        <v>ASHP</v>
      </c>
      <c r="O100" s="119" t="str">
        <f t="shared" si="43"/>
        <v>Gas</v>
      </c>
      <c r="P100" s="119" t="str">
        <f t="shared" si="43"/>
        <v>ASHP</v>
      </c>
      <c r="Q100" s="119" t="str">
        <f t="shared" si="43"/>
        <v>Gas</v>
      </c>
      <c r="R100" s="119" t="str">
        <f t="shared" si="43"/>
        <v>ASHP</v>
      </c>
      <c r="S100" s="119" t="str">
        <f t="shared" si="43"/>
        <v>ASHP</v>
      </c>
      <c r="T100" s="119" t="str">
        <f t="shared" si="43"/>
        <v>ASHP</v>
      </c>
      <c r="V100" s="151"/>
      <c r="AO100" s="152" t="s">
        <v>612</v>
      </c>
      <c r="AP100" s="82" cm="1">
        <f t="array" ref="AP100">AP61-MIN(IF(ISNUMBER($AP$58:$BE$58),$AP$58:$BE$58))</f>
        <v>6141.1503405222247</v>
      </c>
      <c r="AQ100" s="82" t="e" cm="1">
        <f t="array" ref="AQ100">AQ61-MIN(IF(ISNUMBER($AP$58:$BE$58),$AP$58:$BE$58))</f>
        <v>#VALUE!</v>
      </c>
      <c r="AR100" s="82" cm="1">
        <f t="array" ref="AR100">AR61-MIN(IF(ISNUMBER($AP$58:$BE$58),$AP$58:$BE$58))</f>
        <v>0</v>
      </c>
      <c r="AS100" s="82" t="e" cm="1">
        <f t="array" ref="AS100">AS61-MIN(IF(ISNUMBER($AP$58:$BE$58),$AP$58:$BE$58))</f>
        <v>#VALUE!</v>
      </c>
      <c r="AT100" s="82" cm="1">
        <f t="array" ref="AT100">AT61-MIN(IF(ISNUMBER($AP$58:$BE$58),$AP$58:$BE$58))</f>
        <v>214.59999999999854</v>
      </c>
      <c r="AU100" s="82" t="e" cm="1">
        <f t="array" ref="AU100">AU61-MIN(IF(ISNUMBER($AP$58:$BE$58),$AP$58:$BE$58))</f>
        <v>#VALUE!</v>
      </c>
      <c r="AV100" s="82" cm="1">
        <f t="array" ref="AV100">AV61-MIN(IF(ISNUMBER($AP$58:$BE$58),$AP$58:$BE$58))</f>
        <v>1730</v>
      </c>
      <c r="AW100" s="82" cm="1">
        <f t="array" ref="AW100">AW61-MIN(IF(ISNUMBER($AP$58:$BE$58),$AP$58:$BE$58))</f>
        <v>7063.0664386042408</v>
      </c>
      <c r="AX100" s="82" cm="1">
        <f t="array" ref="AX100">AX61-MIN(IF(ISNUMBER($AP$58:$BE$58),$AP$58:$BE$58))</f>
        <v>2414.3999999999942</v>
      </c>
      <c r="AY100" s="82" cm="1">
        <f t="array" ref="AY100">AY61-MIN(IF(ISNUMBER($AP$58:$BE$58),$AP$58:$BE$58))</f>
        <v>6622.7846956190988</v>
      </c>
      <c r="AZ100" s="82" cm="1">
        <f t="array" ref="AZ100">AZ61-MIN(IF(ISNUMBER($AP$58:$BE$58),$AP$58:$BE$58))</f>
        <v>3699.5999999999985</v>
      </c>
      <c r="BA100" s="82" cm="1">
        <f t="array" ref="BA100">BA61-MIN(IF(ISNUMBER($AP$58:$BE$58),$AP$58:$BE$58))</f>
        <v>5639.2043123774638</v>
      </c>
      <c r="BB100" s="82" cm="1">
        <f t="array" ref="BB100">BB61-MIN(IF(ISNUMBER($AP$58:$BE$58),$AP$58:$BE$58))</f>
        <v>3231.5999999999985</v>
      </c>
      <c r="BC100" s="82" cm="1">
        <f t="array" ref="BC100">BC61-MIN(IF(ISNUMBER($AP$58:$BE$58),$AP$58:$BE$58))</f>
        <v>6043.6851991804797</v>
      </c>
      <c r="BD100" s="82" cm="1">
        <f t="array" ref="BD100">BD61-MIN(IF(ISNUMBER($AP$58:$BE$58),$AP$58:$BE$58))</f>
        <v>4052.3999999999942</v>
      </c>
      <c r="BE100" s="82" cm="1">
        <f t="array" ref="BE100">BE61-MIN(IF(ISNUMBER($AP$58:$BE$58),$AP$58:$BE$58))</f>
        <v>1966.5999999999985</v>
      </c>
      <c r="BF100" s="82" cm="1">
        <f t="array" ref="BF100">BF61-MIN(IF(ISNUMBER($AP$58:$BF$58),$AP$58:$BF$58))</f>
        <v>0</v>
      </c>
    </row>
    <row r="101" spans="2:58" s="150" customFormat="1" ht="28.8">
      <c r="C101" s="149" t="str">
        <f>C5</f>
        <v>Nat Vent / MVHR</v>
      </c>
      <c r="D101" s="119" t="str">
        <f t="shared" ref="D101:T101" si="44">D5</f>
        <v>Natural Ventilation</v>
      </c>
      <c r="E101" s="119" t="str">
        <f t="shared" si="44"/>
        <v>Natural Ventilation</v>
      </c>
      <c r="F101" s="119" t="str">
        <f t="shared" si="44"/>
        <v>Natural Ventilation</v>
      </c>
      <c r="G101" s="119" t="str">
        <f t="shared" si="44"/>
        <v>Natural Ventilation</v>
      </c>
      <c r="H101" s="119" t="str">
        <f t="shared" si="44"/>
        <v>Natural Ventilation</v>
      </c>
      <c r="I101" s="119" t="str">
        <f t="shared" si="44"/>
        <v>MVHR</v>
      </c>
      <c r="J101" s="119" t="str">
        <f t="shared" si="44"/>
        <v>MVHR</v>
      </c>
      <c r="K101" s="119" t="str">
        <f t="shared" si="44"/>
        <v>MVHR</v>
      </c>
      <c r="L101" s="119" t="str">
        <f t="shared" si="44"/>
        <v>MVHR</v>
      </c>
      <c r="M101" s="119" t="str">
        <f t="shared" si="44"/>
        <v>MVHR</v>
      </c>
      <c r="N101" s="119" t="str">
        <f t="shared" si="44"/>
        <v>MVHR</v>
      </c>
      <c r="O101" s="119" t="str">
        <f t="shared" si="44"/>
        <v>MVHR</v>
      </c>
      <c r="P101" s="119" t="str">
        <f t="shared" si="44"/>
        <v>MVHR</v>
      </c>
      <c r="Q101" s="119" t="str">
        <f t="shared" si="44"/>
        <v>MVHR</v>
      </c>
      <c r="R101" s="119" t="str">
        <f t="shared" si="44"/>
        <v>MVHR</v>
      </c>
      <c r="S101" s="119" t="str">
        <f t="shared" si="44"/>
        <v>Natural Ventilation</v>
      </c>
      <c r="T101" s="119" t="str">
        <f t="shared" si="44"/>
        <v>Natural Ventilation</v>
      </c>
      <c r="V101" s="151"/>
      <c r="AO101" s="130" t="s">
        <v>613</v>
      </c>
      <c r="AP101" s="82" t="e" cm="1">
        <f t="array" ref="AP101">AP62-MIN(IF(ISNUMBER($AP$58:$BE$58),$AP$58:$BE$58))</f>
        <v>#VALUE!</v>
      </c>
      <c r="AQ101" s="82" t="e" cm="1">
        <f t="array" ref="AQ101">AQ62-MIN(IF(ISNUMBER($AP$58:$BE$58),$AP$58:$BE$58))</f>
        <v>#VALUE!</v>
      </c>
      <c r="AR101" s="82" cm="1">
        <f t="array" ref="AR101">AR62-MIN(IF(ISNUMBER($AP$58:$BE$58),$AP$58:$BE$58))</f>
        <v>0</v>
      </c>
      <c r="AS101" s="82" t="e" cm="1">
        <f t="array" ref="AS101">AS62-MIN(IF(ISNUMBER($AP$58:$BE$58),$AP$58:$BE$58))</f>
        <v>#VALUE!</v>
      </c>
      <c r="AT101" s="82" cm="1">
        <f t="array" ref="AT101">AT62-MIN(IF(ISNUMBER($AP$58:$BE$58),$AP$58:$BE$58))</f>
        <v>214.59999999999854</v>
      </c>
      <c r="AU101" s="82" t="e" cm="1">
        <f t="array" ref="AU101">AU62-MIN(IF(ISNUMBER($AP$58:$BE$58),$AP$58:$BE$58))</f>
        <v>#VALUE!</v>
      </c>
      <c r="AV101" s="82" cm="1">
        <f t="array" ref="AV101">AV62-MIN(IF(ISNUMBER($AP$58:$BE$58),$AP$58:$BE$58))</f>
        <v>1730</v>
      </c>
      <c r="AW101" s="82" t="e" cm="1">
        <f t="array" ref="AW101">AW62-MIN(IF(ISNUMBER($AP$58:$BE$58),$AP$58:$BE$58))</f>
        <v>#VALUE!</v>
      </c>
      <c r="AX101" s="82" cm="1">
        <f t="array" ref="AX101">AX62-MIN(IF(ISNUMBER($AP$58:$BE$58),$AP$58:$BE$58))</f>
        <v>2414.3999999999942</v>
      </c>
      <c r="AY101" s="82" cm="1">
        <f t="array" ref="AY101">AY62-MIN(IF(ISNUMBER($AP$58:$BE$58),$AP$58:$BE$58))</f>
        <v>8259.2697241585265</v>
      </c>
      <c r="AZ101" s="82" cm="1">
        <f t="array" ref="AZ101">AZ62-MIN(IF(ISNUMBER($AP$58:$BE$58),$AP$58:$BE$58))</f>
        <v>3699.5999999999985</v>
      </c>
      <c r="BA101" s="82" cm="1">
        <f t="array" ref="BA101">BA62-MIN(IF(ISNUMBER($AP$58:$BE$58),$AP$58:$BE$58))</f>
        <v>6083.1121935721094</v>
      </c>
      <c r="BB101" s="82" cm="1">
        <f t="array" ref="BB101">BB62-MIN(IF(ISNUMBER($AP$58:$BE$58),$AP$58:$BE$58))</f>
        <v>3231.5999999999985</v>
      </c>
      <c r="BC101" s="82" cm="1">
        <f t="array" ref="BC101">BC62-MIN(IF(ISNUMBER($AP$58:$BE$58),$AP$58:$BE$58))</f>
        <v>6487.5930803751253</v>
      </c>
      <c r="BD101" s="82" cm="1">
        <f t="array" ref="BD101">BD62-MIN(IF(ISNUMBER($AP$58:$BE$58),$AP$58:$BE$58))</f>
        <v>4052.3999999999942</v>
      </c>
      <c r="BE101" s="82" cm="1">
        <f t="array" ref="BE101">BE62-MIN(IF(ISNUMBER($AP$58:$BE$58),$AP$58:$BE$58))</f>
        <v>1966.5999999999985</v>
      </c>
      <c r="BF101" s="82" cm="1">
        <f t="array" ref="BF101">BF62-MIN(IF(ISNUMBER($AP$58:$BF$58),$AP$58:$BF$58))</f>
        <v>0</v>
      </c>
    </row>
    <row r="102" spans="2:58">
      <c r="B102" s="41" t="s">
        <v>723</v>
      </c>
      <c r="AO102" s="130" t="s">
        <v>614</v>
      </c>
      <c r="AP102" s="82" t="e" cm="1">
        <f t="array" ref="AP102">AP63-MIN(IF(ISNUMBER($AP$58:$BE$58),$AP$58:$BE$58))</f>
        <v>#VALUE!</v>
      </c>
      <c r="AQ102" s="82" t="e" cm="1">
        <f t="array" ref="AQ102">AQ63-MIN(IF(ISNUMBER($AP$58:$BE$58),$AP$58:$BE$58))</f>
        <v>#VALUE!</v>
      </c>
      <c r="AR102" s="82" cm="1">
        <f t="array" ref="AR102">AR63-MIN(IF(ISNUMBER($AP$58:$BE$58),$AP$58:$BE$58))</f>
        <v>0</v>
      </c>
      <c r="AS102" s="82" t="e" cm="1">
        <f t="array" ref="AS102">AS63-MIN(IF(ISNUMBER($AP$58:$BE$58),$AP$58:$BE$58))</f>
        <v>#VALUE!</v>
      </c>
      <c r="AT102" s="82" cm="1">
        <f t="array" ref="AT102">AT63-MIN(IF(ISNUMBER($AP$58:$BE$58),$AP$58:$BE$58))</f>
        <v>214.59999999999854</v>
      </c>
      <c r="AU102" s="82" t="e" cm="1">
        <f t="array" ref="AU102">AU63-MIN(IF(ISNUMBER($AP$58:$BE$58),$AP$58:$BE$58))</f>
        <v>#VALUE!</v>
      </c>
      <c r="AV102" s="82" cm="1">
        <f t="array" ref="AV102">AV63-MIN(IF(ISNUMBER($AP$58:$BE$58),$AP$58:$BE$58))</f>
        <v>1730</v>
      </c>
      <c r="AW102" s="82" t="e" cm="1">
        <f t="array" ref="AW102">AW63-MIN(IF(ISNUMBER($AP$58:$BE$58),$AP$58:$BE$58))</f>
        <v>#VALUE!</v>
      </c>
      <c r="AX102" s="82" cm="1">
        <f t="array" ref="AX102">AX63-MIN(IF(ISNUMBER($AP$58:$BE$58),$AP$58:$BE$58))</f>
        <v>2414.3999999999942</v>
      </c>
      <c r="AY102" s="82" t="e" cm="1">
        <f t="array" ref="AY102">AY63-MIN(IF(ISNUMBER($AP$58:$BE$58),$AP$58:$BE$58))</f>
        <v>#VALUE!</v>
      </c>
      <c r="AZ102" s="82" cm="1">
        <f t="array" ref="AZ102">AZ63-MIN(IF(ISNUMBER($AP$58:$BE$58),$AP$58:$BE$58))</f>
        <v>3699.5999999999985</v>
      </c>
      <c r="BA102" s="82" cm="1">
        <f t="array" ref="BA102">BA63-MIN(IF(ISNUMBER($AP$58:$BE$58),$AP$58:$BE$58))</f>
        <v>7659.8701370723866</v>
      </c>
      <c r="BB102" s="82" cm="1">
        <f t="array" ref="BB102">BB63-MIN(IF(ISNUMBER($AP$58:$BE$58),$AP$58:$BE$58))</f>
        <v>3231.5999999999985</v>
      </c>
      <c r="BC102" s="82" cm="1">
        <f t="array" ref="BC102">BC63-MIN(IF(ISNUMBER($AP$58:$BE$58),$AP$58:$BE$58))</f>
        <v>6931.5009615697709</v>
      </c>
      <c r="BD102" s="82" cm="1">
        <f t="array" ref="BD102">BD63-MIN(IF(ISNUMBER($AP$58:$BE$58),$AP$58:$BE$58))</f>
        <v>4052.3999999999942</v>
      </c>
      <c r="BE102" s="82" cm="1">
        <f t="array" ref="BE102">BE63-MIN(IF(ISNUMBER($AP$58:$BE$58),$AP$58:$BE$58))</f>
        <v>1966.5999999999985</v>
      </c>
      <c r="BF102" s="82" cm="1">
        <f t="array" ref="BF102">BF63-MIN(IF(ISNUMBER($AP$58:$BF$58),$AP$58:$BF$58))</f>
        <v>0</v>
      </c>
    </row>
    <row r="103" spans="2:58">
      <c r="B103" s="71" t="s">
        <v>621</v>
      </c>
      <c r="D103" s="50">
        <v>1</v>
      </c>
      <c r="E103" s="50">
        <v>1</v>
      </c>
      <c r="F103" s="50">
        <v>1</v>
      </c>
      <c r="G103" s="50">
        <v>1</v>
      </c>
      <c r="H103" s="50">
        <v>1</v>
      </c>
      <c r="I103" s="50">
        <v>1</v>
      </c>
      <c r="J103" s="50">
        <v>1</v>
      </c>
      <c r="K103" s="50">
        <v>1</v>
      </c>
      <c r="L103" s="50">
        <v>1</v>
      </c>
      <c r="M103" s="50">
        <v>1</v>
      </c>
      <c r="N103" s="50">
        <v>1</v>
      </c>
      <c r="O103" s="50">
        <v>1</v>
      </c>
      <c r="P103" s="50">
        <v>1</v>
      </c>
      <c r="Q103" s="50">
        <v>1</v>
      </c>
      <c r="R103" s="50">
        <v>1</v>
      </c>
      <c r="S103" s="50">
        <v>1</v>
      </c>
      <c r="T103" s="50">
        <v>0</v>
      </c>
      <c r="AO103" s="130" t="s">
        <v>615</v>
      </c>
      <c r="AP103" s="82" t="e" cm="1">
        <f t="array" ref="AP103">AP64-MIN(IF(ISNUMBER($AP$58:$BE$58),$AP$58:$BE$58))</f>
        <v>#VALUE!</v>
      </c>
      <c r="AQ103" s="82" t="e" cm="1">
        <f t="array" ref="AQ103">AQ64-MIN(IF(ISNUMBER($AP$58:$BE$58),$AP$58:$BE$58))</f>
        <v>#VALUE!</v>
      </c>
      <c r="AR103" s="82" cm="1">
        <f t="array" ref="AR103">AR64-MIN(IF(ISNUMBER($AP$58:$BE$58),$AP$58:$BE$58))</f>
        <v>2734.717553551156</v>
      </c>
      <c r="AS103" s="82" t="e" cm="1">
        <f t="array" ref="AS103">AS64-MIN(IF(ISNUMBER($AP$58:$BE$58),$AP$58:$BE$58))</f>
        <v>#VALUE!</v>
      </c>
      <c r="AT103" s="82" cm="1">
        <f t="array" ref="AT103">AT64-MIN(IF(ISNUMBER($AP$58:$BE$58),$AP$58:$BE$58))</f>
        <v>2957.8437741906746</v>
      </c>
      <c r="AU103" s="82" t="e" cm="1">
        <f t="array" ref="AU103">AU64-MIN(IF(ISNUMBER($AP$58:$BE$58),$AP$58:$BE$58))</f>
        <v>#VALUE!</v>
      </c>
      <c r="AV103" s="82" cm="1">
        <f t="array" ref="AV103">AV64-MIN(IF(ISNUMBER($AP$58:$BE$58),$AP$58:$BE$58))</f>
        <v>4751.5773118865109</v>
      </c>
      <c r="AW103" s="82" t="e" cm="1">
        <f t="array" ref="AW103">AW64-MIN(IF(ISNUMBER($AP$58:$BE$58),$AP$58:$BE$58))</f>
        <v>#VALUE!</v>
      </c>
      <c r="AX103" s="82" cm="1">
        <f t="array" ref="AX103">AX64-MIN(IF(ISNUMBER($AP$58:$BE$58),$AP$58:$BE$58))</f>
        <v>5328.5154996123092</v>
      </c>
      <c r="AY103" s="82" t="e" cm="1">
        <f t="array" ref="AY103">AY64-MIN(IF(ISNUMBER($AP$58:$BE$58),$AP$58:$BE$58))</f>
        <v>#VALUE!</v>
      </c>
      <c r="AZ103" s="82" cm="1">
        <f t="array" ref="AZ103">AZ64-MIN(IF(ISNUMBER($AP$58:$BE$58),$AP$58:$BE$58))</f>
        <v>6529.7642364619314</v>
      </c>
      <c r="BA103" s="82" t="e" cm="1">
        <f t="array" ref="BA103">BA64-MIN(IF(ISNUMBER($AP$58:$BE$58),$AP$58:$BE$58))</f>
        <v>#VALUE!</v>
      </c>
      <c r="BB103" s="82" cm="1">
        <f t="array" ref="BB103">BB64-MIN(IF(ISNUMBER($AP$58:$BE$58),$AP$58:$BE$58))</f>
        <v>5973.870056842643</v>
      </c>
      <c r="BC103" s="82" t="e" cm="1">
        <f t="array" ref="BC103">BC64-MIN(IF(ISNUMBER($AP$58:$BE$58),$AP$58:$BE$58))</f>
        <v>#VALUE!</v>
      </c>
      <c r="BD103" s="82" cm="1">
        <f t="array" ref="BD103">BD64-MIN(IF(ISNUMBER($AP$58:$BE$58),$AP$58:$BE$58))</f>
        <v>6723.6975604023901</v>
      </c>
      <c r="BE103" s="82" cm="1">
        <f t="array" ref="BE103">BE64-MIN(IF(ISNUMBER($AP$58:$BE$58),$AP$58:$BE$58))</f>
        <v>4702.9133462066893</v>
      </c>
      <c r="BF103" s="82" cm="1">
        <f t="array" ref="BF103">BF64-MIN(IF(ISNUMBER($AP$58:$BF$58),$AP$58:$BF$58))</f>
        <v>2741.6620183034902</v>
      </c>
    </row>
    <row r="104" spans="2:58">
      <c r="B104" s="71" t="s">
        <v>600</v>
      </c>
      <c r="D104" s="50">
        <v>0</v>
      </c>
      <c r="E104" s="50">
        <v>0</v>
      </c>
      <c r="F104" s="50">
        <v>0</v>
      </c>
      <c r="G104" s="50">
        <v>1</v>
      </c>
      <c r="H104" s="50">
        <v>1</v>
      </c>
      <c r="I104" s="50">
        <v>1</v>
      </c>
      <c r="J104" s="50">
        <v>1</v>
      </c>
      <c r="K104" s="50">
        <v>1</v>
      </c>
      <c r="L104" s="50">
        <v>1</v>
      </c>
      <c r="M104" s="50">
        <v>1</v>
      </c>
      <c r="N104" s="50">
        <v>1</v>
      </c>
      <c r="O104" s="50">
        <v>1</v>
      </c>
      <c r="P104" s="50">
        <v>1</v>
      </c>
      <c r="Q104" s="50">
        <v>1</v>
      </c>
      <c r="R104" s="50">
        <v>1</v>
      </c>
      <c r="S104" s="50">
        <f>IF($L$86&lt;$G$86,1,0)</f>
        <v>0</v>
      </c>
      <c r="T104" s="50">
        <v>0</v>
      </c>
      <c r="AO104" s="133" t="s">
        <v>668</v>
      </c>
      <c r="AP104" s="82"/>
      <c r="AQ104" s="82"/>
      <c r="AR104" s="82"/>
      <c r="AS104" s="82"/>
      <c r="AT104" s="82"/>
      <c r="AU104" s="82"/>
      <c r="AV104" s="82"/>
      <c r="AW104" s="82"/>
      <c r="AX104" s="82"/>
      <c r="AY104" s="82"/>
      <c r="AZ104" s="82"/>
      <c r="BA104" s="82"/>
      <c r="BB104" s="82"/>
      <c r="BC104" s="82"/>
      <c r="BD104" s="82"/>
      <c r="BE104" s="82"/>
      <c r="BF104" s="82"/>
    </row>
    <row r="105" spans="2:58">
      <c r="B105" s="71" t="s">
        <v>601</v>
      </c>
      <c r="D105" s="50">
        <v>0</v>
      </c>
      <c r="E105" s="50">
        <v>0</v>
      </c>
      <c r="F105" s="50">
        <v>0</v>
      </c>
      <c r="G105" s="50">
        <v>0</v>
      </c>
      <c r="H105" s="50">
        <v>0</v>
      </c>
      <c r="I105" s="50">
        <v>0</v>
      </c>
      <c r="J105" s="50">
        <v>0</v>
      </c>
      <c r="K105" s="50">
        <v>1</v>
      </c>
      <c r="L105" s="50">
        <v>1</v>
      </c>
      <c r="M105" s="50">
        <v>1</v>
      </c>
      <c r="N105" s="50">
        <v>1</v>
      </c>
      <c r="O105" s="50">
        <v>1</v>
      </c>
      <c r="P105" s="50">
        <v>1</v>
      </c>
      <c r="Q105" s="50">
        <v>1</v>
      </c>
      <c r="R105" s="50">
        <v>1</v>
      </c>
      <c r="S105" s="50">
        <f>IF($L$86&lt;$H$86,1,0)</f>
        <v>0</v>
      </c>
      <c r="T105" s="50">
        <v>0</v>
      </c>
      <c r="AO105" s="133"/>
      <c r="AP105" s="82"/>
      <c r="AQ105" s="82"/>
      <c r="AR105" s="82"/>
      <c r="AS105" s="82"/>
      <c r="AT105" s="82"/>
      <c r="AU105" s="82"/>
      <c r="AV105" s="82"/>
      <c r="AW105" s="82"/>
      <c r="AX105" s="82"/>
      <c r="AY105" s="82"/>
      <c r="AZ105" s="82"/>
      <c r="BA105" s="82"/>
      <c r="BB105" s="82"/>
      <c r="BC105" s="82"/>
      <c r="BD105" s="82"/>
      <c r="BE105" s="82"/>
      <c r="BF105" s="82"/>
    </row>
    <row r="106" spans="2:58">
      <c r="B106" s="71" t="s">
        <v>602</v>
      </c>
      <c r="D106" s="50">
        <v>0</v>
      </c>
      <c r="E106" s="50">
        <v>0</v>
      </c>
      <c r="F106" s="50">
        <v>0</v>
      </c>
      <c r="G106" s="50">
        <v>0</v>
      </c>
      <c r="H106" s="50">
        <v>0</v>
      </c>
      <c r="I106" s="50">
        <v>0</v>
      </c>
      <c r="J106" s="50">
        <v>0</v>
      </c>
      <c r="K106" s="50">
        <v>0</v>
      </c>
      <c r="L106" s="50">
        <v>0</v>
      </c>
      <c r="M106" s="50">
        <v>1</v>
      </c>
      <c r="N106" s="50">
        <v>1</v>
      </c>
      <c r="O106" s="50">
        <v>1</v>
      </c>
      <c r="P106" s="50">
        <v>1</v>
      </c>
      <c r="Q106" s="50">
        <v>1</v>
      </c>
      <c r="R106" s="50">
        <v>1</v>
      </c>
      <c r="S106" s="50">
        <f>IF($L$86&lt;$I$86,1,0)</f>
        <v>0</v>
      </c>
      <c r="T106" s="50">
        <v>0</v>
      </c>
      <c r="AO106" s="130" t="s">
        <v>609</v>
      </c>
      <c r="AP106" s="82" t="e" cm="1">
        <f t="array" ref="AP106">AP66-MIN(IF(ISNUMBER($AP$66:$BE$66),$AP$66:$BE$66))</f>
        <v>#VALUE!</v>
      </c>
      <c r="AQ106" s="82" t="e" cm="1">
        <f t="array" ref="AQ106">AQ66-MIN(IF(ISNUMBER($AP$66:$BE$66),$AP$66:$BE$66))</f>
        <v>#VALUE!</v>
      </c>
      <c r="AR106" s="82" cm="1">
        <f t="array" ref="AR106">AR66-MIN(IF(ISNUMBER($AP$66:$BE$66),$AP$66:$BE$66))</f>
        <v>0</v>
      </c>
      <c r="AS106" s="82" t="e" cm="1">
        <f t="array" ref="AS106">AS66-MIN(IF(ISNUMBER($AP$66:$BE$66),$AP$66:$BE$66))</f>
        <v>#VALUE!</v>
      </c>
      <c r="AT106" s="82" cm="1">
        <f t="array" ref="AT106">AT66-MIN(IF(ISNUMBER($AP$66:$BE$66),$AP$66:$BE$66))</f>
        <v>223.1262206395113</v>
      </c>
      <c r="AU106" s="82" t="e" cm="1">
        <f t="array" ref="AU106">AU66-MIN(IF(ISNUMBER($AP$66:$BE$66),$AP$66:$BE$66))</f>
        <v>#VALUE!</v>
      </c>
      <c r="AV106" s="82" cm="1">
        <f t="array" ref="AV106">AV66-MIN(IF(ISNUMBER($AP$66:$BE$66),$AP$66:$BE$66))</f>
        <v>2016.8597583353476</v>
      </c>
      <c r="AW106" s="82" t="e" cm="1">
        <f t="array" ref="AW106">AW66-MIN(IF(ISNUMBER($AP$66:$BE$66),$AP$66:$BE$66))</f>
        <v>#VALUE!</v>
      </c>
      <c r="AX106" s="82" cm="1">
        <f t="array" ref="AX106">AX66-MIN(IF(ISNUMBER($AP$66:$BE$66),$AP$66:$BE$66))</f>
        <v>2593.7979460611532</v>
      </c>
      <c r="AY106" s="82" t="e" cm="1">
        <f t="array" ref="AY106">AY66-MIN(IF(ISNUMBER($AP$66:$BE$66),$AP$66:$BE$66))</f>
        <v>#VALUE!</v>
      </c>
      <c r="AZ106" s="82" cm="1">
        <f t="array" ref="AZ106">AZ66-MIN(IF(ISNUMBER($AP$66:$BE$66),$AP$66:$BE$66))</f>
        <v>3795.0466829107754</v>
      </c>
      <c r="BA106" s="82" t="e" cm="1">
        <f t="array" ref="BA106">BA66-MIN(IF(ISNUMBER($AP$66:$BE$66),$AP$66:$BE$66))</f>
        <v>#VALUE!</v>
      </c>
      <c r="BB106" s="82" cm="1">
        <f t="array" ref="BB106">BB66-MIN(IF(ISNUMBER($AP$66:$BE$66),$AP$66:$BE$66))</f>
        <v>3239.1525032914869</v>
      </c>
      <c r="BC106" s="82" cm="1">
        <f t="array" ref="BC106">BC66-MIN(IF(ISNUMBER($AP$66:$BE$66),$AP$66:$BE$66))</f>
        <v>7749.9403602995808</v>
      </c>
      <c r="BD106" s="82" cm="1">
        <f t="array" ref="BD106">BD66-MIN(IF(ISNUMBER($AP$66:$BE$66),$AP$66:$BE$66))</f>
        <v>3988.9800068512341</v>
      </c>
      <c r="BE106" s="82" cm="1">
        <f t="array" ref="BE106">BE66-MIN(IF(ISNUMBER($AP$66:$BE$66),$AP$66:$BE$66))</f>
        <v>1968.195792655526</v>
      </c>
      <c r="BF106" s="82" cm="1">
        <f t="array" ref="BF106">BF66-MIN(IF(ISNUMBER($AP$66:$BF$66),$AP$66:$BF$66))</f>
        <v>6.94446475233417</v>
      </c>
    </row>
    <row r="107" spans="2:58">
      <c r="B107" s="71" t="s">
        <v>603</v>
      </c>
      <c r="D107" s="50">
        <v>0</v>
      </c>
      <c r="E107" s="50">
        <v>0</v>
      </c>
      <c r="F107" s="50">
        <v>0</v>
      </c>
      <c r="G107" s="50">
        <v>0</v>
      </c>
      <c r="H107" s="50">
        <v>0</v>
      </c>
      <c r="I107" s="50">
        <v>0</v>
      </c>
      <c r="J107" s="50">
        <v>0</v>
      </c>
      <c r="K107" s="50">
        <v>0</v>
      </c>
      <c r="L107" s="50">
        <v>0</v>
      </c>
      <c r="M107" s="50">
        <v>0</v>
      </c>
      <c r="N107" s="50">
        <v>0</v>
      </c>
      <c r="O107" s="50">
        <v>1</v>
      </c>
      <c r="P107" s="50">
        <v>1</v>
      </c>
      <c r="Q107" s="50">
        <v>1</v>
      </c>
      <c r="R107" s="50">
        <v>1</v>
      </c>
      <c r="S107" s="50">
        <f>IF($L$86&lt;$J$86,1,0)</f>
        <v>0</v>
      </c>
      <c r="T107" s="50">
        <v>0</v>
      </c>
      <c r="AO107" s="130" t="s">
        <v>610</v>
      </c>
      <c r="AP107" s="82" t="e" cm="1">
        <f t="array" ref="AP107">AP67-MIN(IF(ISNUMBER($AP$66:$BE$66),$AP$66:$BE$66))</f>
        <v>#VALUE!</v>
      </c>
      <c r="AQ107" s="82" t="e" cm="1">
        <f t="array" ref="AQ107">AQ67-MIN(IF(ISNUMBER($AP$66:$BE$66),$AP$66:$BE$66))</f>
        <v>#VALUE!</v>
      </c>
      <c r="AR107" s="82" cm="1">
        <f t="array" ref="AR107">AR67-MIN(IF(ISNUMBER($AP$66:$BE$66),$AP$66:$BE$66))</f>
        <v>156.2299311973693</v>
      </c>
      <c r="AS107" s="82" t="e" cm="1">
        <f t="array" ref="AS107">AS67-MIN(IF(ISNUMBER($AP$66:$BE$66),$AP$66:$BE$66))</f>
        <v>#VALUE!</v>
      </c>
      <c r="AT107" s="82" cm="1">
        <f t="array" ref="AT107">AT67-MIN(IF(ISNUMBER($AP$66:$BE$66),$AP$66:$BE$66))</f>
        <v>379.3561518368806</v>
      </c>
      <c r="AU107" s="82" t="e" cm="1">
        <f t="array" ref="AU107">AU67-MIN(IF(ISNUMBER($AP$66:$BE$66),$AP$66:$BE$66))</f>
        <v>#VALUE!</v>
      </c>
      <c r="AV107" s="82" cm="1">
        <f t="array" ref="AV107">AV67-MIN(IF(ISNUMBER($AP$66:$BE$66),$AP$66:$BE$66))</f>
        <v>2173.0896895327169</v>
      </c>
      <c r="AW107" s="82" t="e" cm="1">
        <f t="array" ref="AW107">AW67-MIN(IF(ISNUMBER($AP$66:$BE$66),$AP$66:$BE$66))</f>
        <v>#VALUE!</v>
      </c>
      <c r="AX107" s="82" cm="1">
        <f t="array" ref="AX107">AX67-MIN(IF(ISNUMBER($AP$66:$BE$66),$AP$66:$BE$66))</f>
        <v>2750.0278772585225</v>
      </c>
      <c r="AY107" s="82" t="e" cm="1">
        <f t="array" ref="AY107">AY67-MIN(IF(ISNUMBER($AP$66:$BE$66),$AP$66:$BE$66))</f>
        <v>#VALUE!</v>
      </c>
      <c r="AZ107" s="82" cm="1">
        <f t="array" ref="AZ107">AZ67-MIN(IF(ISNUMBER($AP$66:$BE$66),$AP$66:$BE$66))</f>
        <v>3951.2766141081447</v>
      </c>
      <c r="BA107" s="82" t="e" cm="1">
        <f t="array" ref="BA107">BA67-MIN(IF(ISNUMBER($AP$66:$BE$66),$AP$66:$BE$66))</f>
        <v>#VALUE!</v>
      </c>
      <c r="BB107" s="82" cm="1">
        <f t="array" ref="BB107">BB67-MIN(IF(ISNUMBER($AP$66:$BE$66),$AP$66:$BE$66))</f>
        <v>3395.3824344888562</v>
      </c>
      <c r="BC107" s="82" cm="1">
        <f t="array" ref="BC107">BC67-MIN(IF(ISNUMBER($AP$66:$BE$66),$AP$66:$BE$66))</f>
        <v>8036.3619008280948</v>
      </c>
      <c r="BD107" s="82" cm="1">
        <f t="array" ref="BD107">BD67-MIN(IF(ISNUMBER($AP$66:$BE$66),$AP$66:$BE$66))</f>
        <v>4145.2099380486034</v>
      </c>
      <c r="BE107" s="82" cm="1">
        <f t="array" ref="BE107">BE67-MIN(IF(ISNUMBER($AP$66:$BE$66),$AP$66:$BE$66))</f>
        <v>2124.4257238528953</v>
      </c>
      <c r="BF107" s="82" cm="1">
        <f t="array" ref="BF107">BF67-MIN(IF(ISNUMBER($AP$66:$BF$66),$AP$66:$BF$66))</f>
        <v>163.17439594970347</v>
      </c>
    </row>
    <row r="108" spans="2:58">
      <c r="B108" s="71" t="s">
        <v>604</v>
      </c>
      <c r="D108" s="50">
        <v>0</v>
      </c>
      <c r="E108" s="50">
        <v>0</v>
      </c>
      <c r="F108" s="50">
        <v>0</v>
      </c>
      <c r="G108" s="50">
        <v>0</v>
      </c>
      <c r="H108" s="50">
        <v>0</v>
      </c>
      <c r="I108" s="50">
        <v>0</v>
      </c>
      <c r="J108" s="50">
        <v>0</v>
      </c>
      <c r="K108" s="50">
        <v>0</v>
      </c>
      <c r="L108" s="50">
        <v>0</v>
      </c>
      <c r="M108" s="50">
        <v>0</v>
      </c>
      <c r="N108" s="50">
        <v>0</v>
      </c>
      <c r="O108" s="50">
        <v>0</v>
      </c>
      <c r="P108" s="50">
        <v>0</v>
      </c>
      <c r="Q108" s="50">
        <v>1</v>
      </c>
      <c r="R108" s="50">
        <v>1</v>
      </c>
      <c r="S108" s="50">
        <f>IF($L$86&lt;$K$86,1,0)</f>
        <v>0</v>
      </c>
      <c r="T108" s="50">
        <v>0</v>
      </c>
      <c r="AO108" s="130" t="s">
        <v>611</v>
      </c>
      <c r="AP108" s="82" t="e" cm="1">
        <f t="array" ref="AP108">AP68-MIN(IF(ISNUMBER($AP$66:$BE$66),$AP$66:$BE$66))</f>
        <v>#VALUE!</v>
      </c>
      <c r="AQ108" s="82" t="e" cm="1">
        <f t="array" ref="AQ108">AQ68-MIN(IF(ISNUMBER($AP$66:$BE$66),$AP$66:$BE$66))</f>
        <v>#VALUE!</v>
      </c>
      <c r="AR108" s="82" cm="1">
        <f t="array" ref="AR108">AR68-MIN(IF(ISNUMBER($AP$66:$BE$66),$AP$66:$BE$66))</f>
        <v>312.45986239473859</v>
      </c>
      <c r="AS108" s="82" t="e" cm="1">
        <f t="array" ref="AS108">AS68-MIN(IF(ISNUMBER($AP$66:$BE$66),$AP$66:$BE$66))</f>
        <v>#VALUE!</v>
      </c>
      <c r="AT108" s="82" cm="1">
        <f t="array" ref="AT108">AT68-MIN(IF(ISNUMBER($AP$66:$BE$66),$AP$66:$BE$66))</f>
        <v>535.58608303425717</v>
      </c>
      <c r="AU108" s="82" t="e" cm="1">
        <f t="array" ref="AU108">AU68-MIN(IF(ISNUMBER($AP$66:$BE$66),$AP$66:$BE$66))</f>
        <v>#VALUE!</v>
      </c>
      <c r="AV108" s="82" cm="1">
        <f t="array" ref="AV108">AV68-MIN(IF(ISNUMBER($AP$66:$BE$66),$AP$66:$BE$66))</f>
        <v>2329.3196207300934</v>
      </c>
      <c r="AW108" s="82" t="e" cm="1">
        <f t="array" ref="AW108">AW68-MIN(IF(ISNUMBER($AP$66:$BE$66),$AP$66:$BE$66))</f>
        <v>#VALUE!</v>
      </c>
      <c r="AX108" s="82" cm="1">
        <f t="array" ref="AX108">AX68-MIN(IF(ISNUMBER($AP$66:$BE$66),$AP$66:$BE$66))</f>
        <v>2906.2578084558918</v>
      </c>
      <c r="AY108" s="82" t="e" cm="1">
        <f t="array" ref="AY108">AY68-MIN(IF(ISNUMBER($AP$66:$BE$66),$AP$66:$BE$66))</f>
        <v>#VALUE!</v>
      </c>
      <c r="AZ108" s="82" cm="1">
        <f t="array" ref="AZ108">AZ68-MIN(IF(ISNUMBER($AP$66:$BE$66),$AP$66:$BE$66))</f>
        <v>4107.506545305514</v>
      </c>
      <c r="BA108" s="82" t="e" cm="1">
        <f t="array" ref="BA108">BA68-MIN(IF(ISNUMBER($AP$66:$BE$66),$AP$66:$BE$66))</f>
        <v>#VALUE!</v>
      </c>
      <c r="BB108" s="82" cm="1">
        <f t="array" ref="BB108">BB68-MIN(IF(ISNUMBER($AP$66:$BE$66),$AP$66:$BE$66))</f>
        <v>3551.6123656862255</v>
      </c>
      <c r="BC108" s="82" t="e" cm="1">
        <f t="array" ref="BC108">BC68-MIN(IF(ISNUMBER($AP$66:$BE$66),$AP$66:$BE$66))</f>
        <v>#VALUE!</v>
      </c>
      <c r="BD108" s="82" cm="1">
        <f t="array" ref="BD108">BD68-MIN(IF(ISNUMBER($AP$66:$BE$66),$AP$66:$BE$66))</f>
        <v>4301.4398692459727</v>
      </c>
      <c r="BE108" s="82" cm="1">
        <f t="array" ref="BE108">BE68-MIN(IF(ISNUMBER($AP$66:$BE$66),$AP$66:$BE$66))</f>
        <v>2280.6556550502646</v>
      </c>
      <c r="BF108" s="82" cm="1">
        <f t="array" ref="BF108">BF68-MIN(IF(ISNUMBER($AP$66:$BF$66),$AP$66:$BF$66))</f>
        <v>319.40432714707276</v>
      </c>
    </row>
    <row r="109" spans="2:58">
      <c r="B109" s="71" t="s">
        <v>791</v>
      </c>
      <c r="D109" s="50">
        <v>0</v>
      </c>
      <c r="E109" s="50">
        <v>0</v>
      </c>
      <c r="F109" s="50">
        <v>0</v>
      </c>
      <c r="G109" s="50">
        <v>0</v>
      </c>
      <c r="H109" s="50">
        <v>0</v>
      </c>
      <c r="I109" s="50">
        <v>0</v>
      </c>
      <c r="J109" s="50">
        <v>0</v>
      </c>
      <c r="K109" s="50">
        <v>0</v>
      </c>
      <c r="L109" s="50">
        <v>0</v>
      </c>
      <c r="M109" s="50">
        <v>0</v>
      </c>
      <c r="N109" s="50">
        <v>0</v>
      </c>
      <c r="O109" s="50">
        <v>0</v>
      </c>
      <c r="P109" s="50">
        <v>0</v>
      </c>
      <c r="Q109" s="50">
        <v>0</v>
      </c>
      <c r="R109" s="50">
        <v>0</v>
      </c>
      <c r="S109" s="50">
        <v>0</v>
      </c>
      <c r="T109" s="50">
        <v>1</v>
      </c>
      <c r="AO109" s="130" t="s">
        <v>612</v>
      </c>
      <c r="AP109" s="82" t="e" cm="1">
        <f t="array" ref="AP109">AP69-MIN(IF(ISNUMBER($AP$66:$BE$66),$AP$66:$BE$66))</f>
        <v>#VALUE!</v>
      </c>
      <c r="AQ109" s="82" t="e" cm="1">
        <f t="array" ref="AQ109">AQ69-MIN(IF(ISNUMBER($AP$66:$BE$66),$AP$66:$BE$66))</f>
        <v>#VALUE!</v>
      </c>
      <c r="AR109" s="82" cm="1">
        <f t="array" ref="AR109">AR69-MIN(IF(ISNUMBER($AP$66:$BE$66),$AP$66:$BE$66))</f>
        <v>468.68979359210789</v>
      </c>
      <c r="AS109" s="82" t="e" cm="1">
        <f t="array" ref="AS109">AS69-MIN(IF(ISNUMBER($AP$66:$BE$66),$AP$66:$BE$66))</f>
        <v>#VALUE!</v>
      </c>
      <c r="AT109" s="82" cm="1">
        <f t="array" ref="AT109">AT69-MIN(IF(ISNUMBER($AP$66:$BE$66),$AP$66:$BE$66))</f>
        <v>691.81601423162647</v>
      </c>
      <c r="AU109" s="82" t="e" cm="1">
        <f t="array" ref="AU109">AU69-MIN(IF(ISNUMBER($AP$66:$BE$66),$AP$66:$BE$66))</f>
        <v>#VALUE!</v>
      </c>
      <c r="AV109" s="82" cm="1">
        <f t="array" ref="AV109">AV69-MIN(IF(ISNUMBER($AP$66:$BE$66),$AP$66:$BE$66))</f>
        <v>2485.5495519274627</v>
      </c>
      <c r="AW109" s="82" t="e" cm="1">
        <f t="array" ref="AW109">AW69-MIN(IF(ISNUMBER($AP$66:$BE$66),$AP$66:$BE$66))</f>
        <v>#VALUE!</v>
      </c>
      <c r="AX109" s="82" cm="1">
        <f t="array" ref="AX109">AX69-MIN(IF(ISNUMBER($AP$66:$BE$66),$AP$66:$BE$66))</f>
        <v>3062.4877396532684</v>
      </c>
      <c r="AY109" s="82" t="e" cm="1">
        <f t="array" ref="AY109">AY69-MIN(IF(ISNUMBER($AP$66:$BE$66),$AP$66:$BE$66))</f>
        <v>#VALUE!</v>
      </c>
      <c r="AZ109" s="82" cm="1">
        <f t="array" ref="AZ109">AZ69-MIN(IF(ISNUMBER($AP$66:$BE$66),$AP$66:$BE$66))</f>
        <v>4263.7364765028833</v>
      </c>
      <c r="BA109" s="82" t="e" cm="1">
        <f t="array" ref="BA109">BA69-MIN(IF(ISNUMBER($AP$66:$BE$66),$AP$66:$BE$66))</f>
        <v>#VALUE!</v>
      </c>
      <c r="BB109" s="82" cm="1">
        <f t="array" ref="BB109">BB69-MIN(IF(ISNUMBER($AP$66:$BE$66),$AP$66:$BE$66))</f>
        <v>3707.8422968835948</v>
      </c>
      <c r="BC109" s="82" t="e" cm="1">
        <f t="array" ref="BC109">BC69-MIN(IF(ISNUMBER($AP$66:$BE$66),$AP$66:$BE$66))</f>
        <v>#VALUE!</v>
      </c>
      <c r="BD109" s="82" cm="1">
        <f t="array" ref="BD109">BD69-MIN(IF(ISNUMBER($AP$66:$BE$66),$AP$66:$BE$66))</f>
        <v>4457.669800443342</v>
      </c>
      <c r="BE109" s="82" cm="1">
        <f t="array" ref="BE109">BE69-MIN(IF(ISNUMBER($AP$66:$BE$66),$AP$66:$BE$66))</f>
        <v>2436.8855862476412</v>
      </c>
      <c r="BF109" s="82" cm="1">
        <f t="array" ref="BF109">BF69-MIN(IF(ISNUMBER($AP$66:$BF$66),$AP$66:$BF$66))</f>
        <v>475.63425834444206</v>
      </c>
    </row>
    <row r="110" spans="2:58">
      <c r="B110" s="41" t="s">
        <v>724</v>
      </c>
      <c r="AO110" s="130" t="s">
        <v>613</v>
      </c>
      <c r="AP110" s="82" t="e" cm="1">
        <f t="array" ref="AP110">AP70-MIN(IF(ISNUMBER($AP$66:$BE$66),$AP$66:$BE$66))</f>
        <v>#VALUE!</v>
      </c>
      <c r="AQ110" s="82" t="e" cm="1">
        <f t="array" ref="AQ110">AQ70-MIN(IF(ISNUMBER($AP$66:$BE$66),$AP$66:$BE$66))</f>
        <v>#VALUE!</v>
      </c>
      <c r="AR110" s="82" cm="1">
        <f t="array" ref="AR110">AR70-MIN(IF(ISNUMBER($AP$66:$BE$66),$AP$66:$BE$66))</f>
        <v>624.91972478948446</v>
      </c>
      <c r="AS110" s="82" t="e" cm="1">
        <f t="array" ref="AS110">AS70-MIN(IF(ISNUMBER($AP$66:$BE$66),$AP$66:$BE$66))</f>
        <v>#VALUE!</v>
      </c>
      <c r="AT110" s="82" cm="1">
        <f t="array" ref="AT110">AT70-MIN(IF(ISNUMBER($AP$66:$BE$66),$AP$66:$BE$66))</f>
        <v>848.04594542899576</v>
      </c>
      <c r="AU110" s="82" t="e" cm="1">
        <f t="array" ref="AU110">AU70-MIN(IF(ISNUMBER($AP$66:$BE$66),$AP$66:$BE$66))</f>
        <v>#VALUE!</v>
      </c>
      <c r="AV110" s="82" cm="1">
        <f t="array" ref="AV110">AV70-MIN(IF(ISNUMBER($AP$66:$BE$66),$AP$66:$BE$66))</f>
        <v>2641.779483124832</v>
      </c>
      <c r="AW110" s="82" t="e" cm="1">
        <f t="array" ref="AW110">AW70-MIN(IF(ISNUMBER($AP$66:$BE$66),$AP$66:$BE$66))</f>
        <v>#VALUE!</v>
      </c>
      <c r="AX110" s="82" cm="1">
        <f t="array" ref="AX110">AX70-MIN(IF(ISNUMBER($AP$66:$BE$66),$AP$66:$BE$66))</f>
        <v>3218.7176708506377</v>
      </c>
      <c r="AY110" s="82" t="e" cm="1">
        <f t="array" ref="AY110">AY70-MIN(IF(ISNUMBER($AP$66:$BE$66),$AP$66:$BE$66))</f>
        <v>#VALUE!</v>
      </c>
      <c r="AZ110" s="82" cm="1">
        <f t="array" ref="AZ110">AZ70-MIN(IF(ISNUMBER($AP$66:$BE$66),$AP$66:$BE$66))</f>
        <v>4419.9664077002526</v>
      </c>
      <c r="BA110" s="82" t="e" cm="1">
        <f t="array" ref="BA110">BA70-MIN(IF(ISNUMBER($AP$66:$BE$66),$AP$66:$BE$66))</f>
        <v>#VALUE!</v>
      </c>
      <c r="BB110" s="82" cm="1">
        <f t="array" ref="BB110">BB70-MIN(IF(ISNUMBER($AP$66:$BE$66),$AP$66:$BE$66))</f>
        <v>3864.0722280809641</v>
      </c>
      <c r="BC110" s="82" t="e" cm="1">
        <f t="array" ref="BC110">BC70-MIN(IF(ISNUMBER($AP$66:$BE$66),$AP$66:$BE$66))</f>
        <v>#VALUE!</v>
      </c>
      <c r="BD110" s="82" cm="1">
        <f t="array" ref="BD110">BD70-MIN(IF(ISNUMBER($AP$66:$BE$66),$AP$66:$BE$66))</f>
        <v>4613.8997316407113</v>
      </c>
      <c r="BE110" s="82" cm="1">
        <f t="array" ref="BE110">BE70-MIN(IF(ISNUMBER($AP$66:$BE$66),$AP$66:$BE$66))</f>
        <v>2593.1155174450105</v>
      </c>
      <c r="BF110" s="82" cm="1">
        <f t="array" ref="BF110">BF70-MIN(IF(ISNUMBER($AP$66:$BF$66),$AP$66:$BF$66))</f>
        <v>631.86418954181136</v>
      </c>
    </row>
    <row r="111" spans="2:58">
      <c r="B111" s="71" t="s">
        <v>606</v>
      </c>
      <c r="D111" s="50">
        <v>1</v>
      </c>
      <c r="E111" s="50">
        <v>1</v>
      </c>
      <c r="F111" s="50">
        <v>1</v>
      </c>
      <c r="G111" s="50">
        <v>1</v>
      </c>
      <c r="H111" s="50">
        <v>1</v>
      </c>
      <c r="I111" s="50">
        <v>1</v>
      </c>
      <c r="J111" s="50">
        <v>1</v>
      </c>
      <c r="K111" s="50">
        <v>1</v>
      </c>
      <c r="L111" s="50">
        <v>1</v>
      </c>
      <c r="M111" s="50">
        <v>1</v>
      </c>
      <c r="N111" s="50">
        <v>1</v>
      </c>
      <c r="O111" s="50">
        <v>1</v>
      </c>
      <c r="P111" s="50">
        <v>1</v>
      </c>
      <c r="Q111" s="50">
        <v>1</v>
      </c>
      <c r="R111" s="50">
        <v>1</v>
      </c>
      <c r="S111" s="50">
        <v>1</v>
      </c>
      <c r="T111" s="50">
        <v>1</v>
      </c>
      <c r="AO111" s="130" t="s">
        <v>614</v>
      </c>
      <c r="AP111" s="82" t="e" cm="1">
        <f t="array" ref="AP111">AP71-MIN(IF(ISNUMBER($AP$66:$BE$66),$AP$66:$BE$66))</f>
        <v>#VALUE!</v>
      </c>
      <c r="AQ111" s="82" t="e" cm="1">
        <f t="array" ref="AQ111">AQ71-MIN(IF(ISNUMBER($AP$66:$BE$66),$AP$66:$BE$66))</f>
        <v>#VALUE!</v>
      </c>
      <c r="AR111" s="82" cm="1">
        <f t="array" ref="AR111">AR71-MIN(IF(ISNUMBER($AP$66:$BE$66),$AP$66:$BE$66))</f>
        <v>781.14965598685376</v>
      </c>
      <c r="AS111" s="82" t="e" cm="1">
        <f t="array" ref="AS111">AS71-MIN(IF(ISNUMBER($AP$66:$BE$66),$AP$66:$BE$66))</f>
        <v>#VALUE!</v>
      </c>
      <c r="AT111" s="82" cm="1">
        <f t="array" ref="AT111">AT71-MIN(IF(ISNUMBER($AP$66:$BE$66),$AP$66:$BE$66))</f>
        <v>1004.2758766263651</v>
      </c>
      <c r="AU111" s="82" t="e" cm="1">
        <f t="array" ref="AU111">AU71-MIN(IF(ISNUMBER($AP$66:$BE$66),$AP$66:$BE$66))</f>
        <v>#VALUE!</v>
      </c>
      <c r="AV111" s="82" cm="1">
        <f t="array" ref="AV111">AV71-MIN(IF(ISNUMBER($AP$66:$BE$66),$AP$66:$BE$66))</f>
        <v>2798.0094143222013</v>
      </c>
      <c r="AW111" s="82" t="e" cm="1">
        <f t="array" ref="AW111">AW71-MIN(IF(ISNUMBER($AP$66:$BE$66),$AP$66:$BE$66))</f>
        <v>#VALUE!</v>
      </c>
      <c r="AX111" s="82" cm="1">
        <f t="array" ref="AX111">AX71-MIN(IF(ISNUMBER($AP$66:$BE$66),$AP$66:$BE$66))</f>
        <v>3374.947602048007</v>
      </c>
      <c r="AY111" s="82" t="e" cm="1">
        <f t="array" ref="AY111">AY71-MIN(IF(ISNUMBER($AP$66:$BE$66),$AP$66:$BE$66))</f>
        <v>#VALUE!</v>
      </c>
      <c r="AZ111" s="82" cm="1">
        <f t="array" ref="AZ111">AZ71-MIN(IF(ISNUMBER($AP$66:$BE$66),$AP$66:$BE$66))</f>
        <v>4576.1963388976219</v>
      </c>
      <c r="BA111" s="82" t="e" cm="1">
        <f t="array" ref="BA111">BA71-MIN(IF(ISNUMBER($AP$66:$BE$66),$AP$66:$BE$66))</f>
        <v>#VALUE!</v>
      </c>
      <c r="BB111" s="82" cm="1">
        <f t="array" ref="BB111">BB71-MIN(IF(ISNUMBER($AP$66:$BE$66),$AP$66:$BE$66))</f>
        <v>4020.3021592783334</v>
      </c>
      <c r="BC111" s="82" t="e" cm="1">
        <f t="array" ref="BC111">BC71-MIN(IF(ISNUMBER($AP$66:$BE$66),$AP$66:$BE$66))</f>
        <v>#VALUE!</v>
      </c>
      <c r="BD111" s="82" cm="1">
        <f t="array" ref="BD111">BD71-MIN(IF(ISNUMBER($AP$66:$BE$66),$AP$66:$BE$66))</f>
        <v>4770.1296628380878</v>
      </c>
      <c r="BE111" s="82" cm="1">
        <f t="array" ref="BE111">BE71-MIN(IF(ISNUMBER($AP$66:$BE$66),$AP$66:$BE$66))</f>
        <v>2749.3454486423798</v>
      </c>
      <c r="BF111" s="82" cm="1">
        <f t="array" ref="BF111">BF71-MIN(IF(ISNUMBER($AP$66:$BF$66),$AP$66:$BF$66))</f>
        <v>788.09412073918065</v>
      </c>
    </row>
    <row r="112" spans="2:58">
      <c r="B112" s="71" t="s">
        <v>607</v>
      </c>
      <c r="D112" s="50">
        <f>IF(D100="Gas",0,1)</f>
        <v>0</v>
      </c>
      <c r="E112" s="50">
        <f t="shared" ref="E112:T112" si="45">IF(E100="Gas",0,1)</f>
        <v>0</v>
      </c>
      <c r="F112" s="50">
        <f t="shared" si="45"/>
        <v>1</v>
      </c>
      <c r="G112" s="50">
        <f t="shared" si="45"/>
        <v>0</v>
      </c>
      <c r="H112" s="50">
        <f t="shared" si="45"/>
        <v>1</v>
      </c>
      <c r="I112" s="50">
        <f t="shared" si="45"/>
        <v>0</v>
      </c>
      <c r="J112" s="50">
        <f t="shared" si="45"/>
        <v>1</v>
      </c>
      <c r="K112" s="50">
        <f t="shared" si="45"/>
        <v>0</v>
      </c>
      <c r="L112" s="50">
        <f t="shared" si="45"/>
        <v>1</v>
      </c>
      <c r="M112" s="50">
        <f t="shared" si="45"/>
        <v>0</v>
      </c>
      <c r="N112" s="50">
        <f t="shared" si="45"/>
        <v>1</v>
      </c>
      <c r="O112" s="50">
        <f t="shared" si="45"/>
        <v>0</v>
      </c>
      <c r="P112" s="50">
        <f t="shared" si="45"/>
        <v>1</v>
      </c>
      <c r="Q112" s="50">
        <f t="shared" si="45"/>
        <v>0</v>
      </c>
      <c r="R112" s="50">
        <f t="shared" si="45"/>
        <v>1</v>
      </c>
      <c r="S112" s="50">
        <f t="shared" si="45"/>
        <v>1</v>
      </c>
      <c r="T112" s="50">
        <f t="shared" si="45"/>
        <v>1</v>
      </c>
      <c r="AO112" s="130" t="s">
        <v>615</v>
      </c>
      <c r="AP112" s="82" t="e" cm="1">
        <f t="array" ref="AP112">AP72-MIN(IF(ISNUMBER($AP$66:$BE$66),$AP$66:$BE$66))</f>
        <v>#VALUE!</v>
      </c>
      <c r="AQ112" s="82" t="e" cm="1">
        <f t="array" ref="AQ112">AQ72-MIN(IF(ISNUMBER($AP$66:$BE$66),$AP$66:$BE$66))</f>
        <v>#VALUE!</v>
      </c>
      <c r="AR112" s="82" cm="1">
        <f t="array" ref="AR112">AR72-MIN(IF(ISNUMBER($AP$66:$BE$66),$AP$66:$BE$66))</f>
        <v>1562.2993119737002</v>
      </c>
      <c r="AS112" s="82" t="e" cm="1">
        <f t="array" ref="AS112">AS72-MIN(IF(ISNUMBER($AP$66:$BE$66),$AP$66:$BE$66))</f>
        <v>#VALUE!</v>
      </c>
      <c r="AT112" s="82" cm="1">
        <f t="array" ref="AT112">AT72-MIN(IF(ISNUMBER($AP$66:$BE$66),$AP$66:$BE$66))</f>
        <v>1785.4255326132188</v>
      </c>
      <c r="AU112" s="82" t="e" cm="1">
        <f t="array" ref="AU112">AU72-MIN(IF(ISNUMBER($AP$66:$BE$66),$AP$66:$BE$66))</f>
        <v>#VALUE!</v>
      </c>
      <c r="AV112" s="82" cm="1">
        <f t="array" ref="AV112">AV72-MIN(IF(ISNUMBER($AP$66:$BE$66),$AP$66:$BE$66))</f>
        <v>3579.1590703090551</v>
      </c>
      <c r="AW112" s="82" t="e" cm="1">
        <f t="array" ref="AW112">AW72-MIN(IF(ISNUMBER($AP$66:$BE$66),$AP$66:$BE$66))</f>
        <v>#VALUE!</v>
      </c>
      <c r="AX112" s="82" cm="1">
        <f t="array" ref="AX112">AX72-MIN(IF(ISNUMBER($AP$66:$BE$66),$AP$66:$BE$66))</f>
        <v>4156.0972580348534</v>
      </c>
      <c r="AY112" s="82" t="e" cm="1">
        <f t="array" ref="AY112">AY72-MIN(IF(ISNUMBER($AP$66:$BE$66),$AP$66:$BE$66))</f>
        <v>#VALUE!</v>
      </c>
      <c r="AZ112" s="82" cm="1">
        <f t="array" ref="AZ112">AZ72-MIN(IF(ISNUMBER($AP$66:$BE$66),$AP$66:$BE$66))</f>
        <v>5357.3459948844757</v>
      </c>
      <c r="BA112" s="82" t="e" cm="1">
        <f t="array" ref="BA112">BA72-MIN(IF(ISNUMBER($AP$66:$BE$66),$AP$66:$BE$66))</f>
        <v>#VALUE!</v>
      </c>
      <c r="BB112" s="82" cm="1">
        <f t="array" ref="BB112">BB72-MIN(IF(ISNUMBER($AP$66:$BE$66),$AP$66:$BE$66))</f>
        <v>4801.4518152651872</v>
      </c>
      <c r="BC112" s="82" t="e" cm="1">
        <f t="array" ref="BC112">BC72-MIN(IF(ISNUMBER($AP$66:$BE$66),$AP$66:$BE$66))</f>
        <v>#VALUE!</v>
      </c>
      <c r="BD112" s="82" cm="1">
        <f t="array" ref="BD112">BD72-MIN(IF(ISNUMBER($AP$66:$BE$66),$AP$66:$BE$66))</f>
        <v>5551.2793188249343</v>
      </c>
      <c r="BE112" s="82" cm="1">
        <f t="array" ref="BE112">BE72-MIN(IF(ISNUMBER($AP$66:$BE$66),$AP$66:$BE$66))</f>
        <v>3530.4951046292335</v>
      </c>
      <c r="BF112" s="82" cm="1">
        <f t="array" ref="BF112">BF72-MIN(IF(ISNUMBER($AP$66:$BF$66),$AP$66:$BF$66))</f>
        <v>1569.2437767260344</v>
      </c>
    </row>
    <row r="113" spans="2:20">
      <c r="B113" s="41" t="s">
        <v>725</v>
      </c>
    </row>
    <row r="114" spans="2:20">
      <c r="B114" s="76" t="s">
        <v>618</v>
      </c>
      <c r="C114" t="str">
        <f>INPUT!C19</f>
        <v>No specific fabric standard</v>
      </c>
      <c r="D114" s="50">
        <f>VLOOKUP($C$114,$B$103:$T$109,COLUMN(C114),FALSE)</f>
        <v>1</v>
      </c>
      <c r="E114" s="50">
        <f t="shared" ref="E114:T114" si="46">VLOOKUP($C$114,$B$103:$T$109,COLUMN(D114),FALSE)</f>
        <v>1</v>
      </c>
      <c r="F114" s="50">
        <f t="shared" si="46"/>
        <v>1</v>
      </c>
      <c r="G114" s="50">
        <f t="shared" si="46"/>
        <v>1</v>
      </c>
      <c r="H114" s="50">
        <f t="shared" si="46"/>
        <v>1</v>
      </c>
      <c r="I114" s="50">
        <f t="shared" si="46"/>
        <v>1</v>
      </c>
      <c r="J114" s="50">
        <f t="shared" si="46"/>
        <v>1</v>
      </c>
      <c r="K114" s="50">
        <f t="shared" si="46"/>
        <v>1</v>
      </c>
      <c r="L114" s="50">
        <f t="shared" si="46"/>
        <v>1</v>
      </c>
      <c r="M114" s="50">
        <f t="shared" si="46"/>
        <v>1</v>
      </c>
      <c r="N114" s="50">
        <f t="shared" si="46"/>
        <v>1</v>
      </c>
      <c r="O114" s="50">
        <f t="shared" si="46"/>
        <v>1</v>
      </c>
      <c r="P114" s="50">
        <f t="shared" si="46"/>
        <v>1</v>
      </c>
      <c r="Q114" s="50">
        <f t="shared" si="46"/>
        <v>1</v>
      </c>
      <c r="R114" s="50">
        <f t="shared" si="46"/>
        <v>1</v>
      </c>
      <c r="S114" s="50">
        <f t="shared" si="46"/>
        <v>1</v>
      </c>
      <c r="T114" s="50">
        <f t="shared" si="46"/>
        <v>0</v>
      </c>
    </row>
    <row r="115" spans="2:20">
      <c r="B115" s="76" t="s">
        <v>619</v>
      </c>
      <c r="C115" t="str">
        <f>INPUT!C20</f>
        <v>Gas Possible</v>
      </c>
      <c r="D115" s="50">
        <f>VLOOKUP($C$115,$B$111:$T$112,COLUMN(C115),FALSE)</f>
        <v>1</v>
      </c>
      <c r="E115" s="50">
        <f t="shared" ref="E115:T115" si="47">VLOOKUP($C$115,$B$111:$T$112,COLUMN(D115),FALSE)</f>
        <v>1</v>
      </c>
      <c r="F115" s="50">
        <f t="shared" si="47"/>
        <v>1</v>
      </c>
      <c r="G115" s="50">
        <f t="shared" si="47"/>
        <v>1</v>
      </c>
      <c r="H115" s="50">
        <f t="shared" si="47"/>
        <v>1</v>
      </c>
      <c r="I115" s="50">
        <f t="shared" si="47"/>
        <v>1</v>
      </c>
      <c r="J115" s="50">
        <f t="shared" si="47"/>
        <v>1</v>
      </c>
      <c r="K115" s="50">
        <f t="shared" si="47"/>
        <v>1</v>
      </c>
      <c r="L115" s="50">
        <f t="shared" si="47"/>
        <v>1</v>
      </c>
      <c r="M115" s="50">
        <f t="shared" si="47"/>
        <v>1</v>
      </c>
      <c r="N115" s="50">
        <f t="shared" si="47"/>
        <v>1</v>
      </c>
      <c r="O115" s="50">
        <f t="shared" si="47"/>
        <v>1</v>
      </c>
      <c r="P115" s="50">
        <f t="shared" si="47"/>
        <v>1</v>
      </c>
      <c r="Q115" s="50">
        <f t="shared" si="47"/>
        <v>1</v>
      </c>
      <c r="R115" s="50">
        <f t="shared" si="47"/>
        <v>1</v>
      </c>
      <c r="S115" s="50">
        <f t="shared" si="47"/>
        <v>1</v>
      </c>
      <c r="T115" s="50">
        <f t="shared" si="47"/>
        <v>1</v>
      </c>
    </row>
    <row r="116" spans="2:20">
      <c r="B116" s="76" t="s">
        <v>726</v>
      </c>
      <c r="D116" s="50">
        <f>IF(AND(D114=1,D115=1),1,0)</f>
        <v>1</v>
      </c>
      <c r="E116" s="50">
        <f t="shared" ref="E116:T116" si="48">IF(AND(E114=1,E115=1),1,0)</f>
        <v>1</v>
      </c>
      <c r="F116" s="50">
        <f t="shared" si="48"/>
        <v>1</v>
      </c>
      <c r="G116" s="50">
        <f t="shared" si="48"/>
        <v>1</v>
      </c>
      <c r="H116" s="50">
        <f t="shared" si="48"/>
        <v>1</v>
      </c>
      <c r="I116" s="50">
        <f t="shared" si="48"/>
        <v>1</v>
      </c>
      <c r="J116" s="50">
        <f t="shared" si="48"/>
        <v>1</v>
      </c>
      <c r="K116" s="50">
        <f t="shared" si="48"/>
        <v>1</v>
      </c>
      <c r="L116" s="50">
        <f t="shared" si="48"/>
        <v>1</v>
      </c>
      <c r="M116" s="50">
        <f t="shared" si="48"/>
        <v>1</v>
      </c>
      <c r="N116" s="50">
        <f t="shared" si="48"/>
        <v>1</v>
      </c>
      <c r="O116" s="50">
        <f t="shared" si="48"/>
        <v>1</v>
      </c>
      <c r="P116" s="50">
        <f t="shared" si="48"/>
        <v>1</v>
      </c>
      <c r="Q116" s="50">
        <f t="shared" si="48"/>
        <v>1</v>
      </c>
      <c r="R116" s="50">
        <f t="shared" si="48"/>
        <v>1</v>
      </c>
      <c r="S116" s="50">
        <f t="shared" si="48"/>
        <v>1</v>
      </c>
      <c r="T116" s="50">
        <f t="shared" si="48"/>
        <v>0</v>
      </c>
    </row>
    <row r="117" spans="2:20">
      <c r="B117" s="41" t="s">
        <v>727</v>
      </c>
    </row>
    <row r="118" spans="2:20">
      <c r="B118" s="71" t="s">
        <v>593</v>
      </c>
      <c r="C118" t="str">
        <f>INPUT!C18</f>
        <v>FHS</v>
      </c>
    </row>
    <row r="119" spans="2:20">
      <c r="B119" s="76" t="s">
        <v>620</v>
      </c>
      <c r="C119" t="str">
        <f>INPUT!C21</f>
        <v>Reduce Part L regulated: 30%</v>
      </c>
    </row>
    <row r="120" spans="2:20">
      <c r="B120" s="76" t="s">
        <v>728</v>
      </c>
      <c r="C120" s="11" t="s">
        <v>324</v>
      </c>
      <c r="D120" s="153" t="str">
        <f>IF($C$118="Part L 2021",VLOOKUP($C$119,$C$40:$T$46,COLUMN(D120)-2),VLOOKUP($C$119,$C$47:$T$53,COLUMN(D120)-2))</f>
        <v>Not Possible</v>
      </c>
      <c r="E120" s="153" t="str">
        <f t="shared" ref="E120:T120" si="49">IF($C$118="Part L 2021",VLOOKUP($C$119,$C$40:$T$46,COLUMN(E120)-2),VLOOKUP($C$119,$C$47:$T$53,COLUMN(E120)-2))</f>
        <v>Not Possible</v>
      </c>
      <c r="F120" s="153">
        <f t="shared" si="49"/>
        <v>468.68979359210789</v>
      </c>
      <c r="G120" s="153" t="str">
        <f t="shared" si="49"/>
        <v>Not Possible</v>
      </c>
      <c r="H120" s="153">
        <f t="shared" si="49"/>
        <v>691.81601423162647</v>
      </c>
      <c r="I120" s="153" t="str">
        <f t="shared" si="49"/>
        <v>Not Possible</v>
      </c>
      <c r="J120" s="153">
        <f t="shared" si="49"/>
        <v>2485.5495519274627</v>
      </c>
      <c r="K120" s="153" t="str">
        <f t="shared" si="49"/>
        <v>Not Possible</v>
      </c>
      <c r="L120" s="153">
        <f t="shared" si="49"/>
        <v>3062.4877396532684</v>
      </c>
      <c r="M120" s="153" t="str">
        <f t="shared" si="49"/>
        <v>Not Possible</v>
      </c>
      <c r="N120" s="153">
        <f t="shared" si="49"/>
        <v>4263.7364765028833</v>
      </c>
      <c r="O120" s="153" t="str">
        <f t="shared" si="49"/>
        <v>Not Possible</v>
      </c>
      <c r="P120" s="153">
        <f t="shared" si="49"/>
        <v>3707.8422968835948</v>
      </c>
      <c r="Q120" s="153" t="str">
        <f t="shared" si="49"/>
        <v>Not Possible</v>
      </c>
      <c r="R120" s="153">
        <f t="shared" si="49"/>
        <v>4457.669800443342</v>
      </c>
      <c r="S120" s="153">
        <f t="shared" si="49"/>
        <v>2436.8855862476412</v>
      </c>
      <c r="T120" s="153">
        <f t="shared" si="49"/>
        <v>475.63425834444206</v>
      </c>
    </row>
    <row r="121" spans="2:20">
      <c r="B121" s="76" t="s">
        <v>729</v>
      </c>
      <c r="D121" s="153" t="str">
        <f>IF(D116=1,D120,"Not Possible")</f>
        <v>Not Possible</v>
      </c>
      <c r="E121" s="153" t="str">
        <f t="shared" ref="E121:T121" si="50">IF(E116=1,E120,"Not Possible")</f>
        <v>Not Possible</v>
      </c>
      <c r="F121" s="153">
        <f t="shared" si="50"/>
        <v>468.68979359210789</v>
      </c>
      <c r="G121" s="153" t="str">
        <f t="shared" si="50"/>
        <v>Not Possible</v>
      </c>
      <c r="H121" s="153">
        <f t="shared" si="50"/>
        <v>691.81601423162647</v>
      </c>
      <c r="I121" s="153" t="str">
        <f t="shared" si="50"/>
        <v>Not Possible</v>
      </c>
      <c r="J121" s="153">
        <f t="shared" si="50"/>
        <v>2485.5495519274627</v>
      </c>
      <c r="K121" s="153" t="str">
        <f t="shared" si="50"/>
        <v>Not Possible</v>
      </c>
      <c r="L121" s="153">
        <f t="shared" si="50"/>
        <v>3062.4877396532684</v>
      </c>
      <c r="M121" s="153" t="str">
        <f t="shared" si="50"/>
        <v>Not Possible</v>
      </c>
      <c r="N121" s="153">
        <f t="shared" si="50"/>
        <v>4263.7364765028833</v>
      </c>
      <c r="O121" s="153" t="str">
        <f t="shared" si="50"/>
        <v>Not Possible</v>
      </c>
      <c r="P121" s="153">
        <f t="shared" si="50"/>
        <v>3707.8422968835948</v>
      </c>
      <c r="Q121" s="153" t="str">
        <f t="shared" si="50"/>
        <v>Not Possible</v>
      </c>
      <c r="R121" s="153">
        <f t="shared" si="50"/>
        <v>4457.669800443342</v>
      </c>
      <c r="S121" s="153">
        <f t="shared" si="50"/>
        <v>2436.8855862476412</v>
      </c>
      <c r="T121" s="153" t="str">
        <f t="shared" si="50"/>
        <v>Not Possible</v>
      </c>
    </row>
    <row r="122" spans="2:20">
      <c r="B122" s="76" t="s">
        <v>730</v>
      </c>
      <c r="C122" s="154">
        <f>MIN(D121:T121)</f>
        <v>468.68979359210789</v>
      </c>
    </row>
    <row r="123" spans="2:20">
      <c r="B123" s="76" t="s">
        <v>734</v>
      </c>
      <c r="C123" s="155">
        <f>MATCH(C122,D121:T121,0)+3</f>
        <v>6</v>
      </c>
    </row>
    <row r="124" spans="2:20">
      <c r="B124" s="76" t="s">
        <v>739</v>
      </c>
      <c r="C124" s="155">
        <f>IF(C118="Part L 2021",MATCH(C119,B58:B64,0)+57,MATCH(C119,B66:B72,0)+65)</f>
        <v>69</v>
      </c>
    </row>
    <row r="126" spans="2:20">
      <c r="B126" s="135" t="s">
        <v>733</v>
      </c>
    </row>
    <row r="127" spans="2:20">
      <c r="B127" s="158" t="s">
        <v>770</v>
      </c>
    </row>
    <row r="128" spans="2:20">
      <c r="B128" t="s">
        <v>618</v>
      </c>
      <c r="C128" s="160" t="str" cm="1">
        <f t="array" aca="1" ref="C128" ca="1">INDIRECT(ADDRESS(3,$C$123))</f>
        <v xml:space="preserve">Notional Building C&amp;B </v>
      </c>
    </row>
    <row r="129" spans="2:7">
      <c r="B129" t="s">
        <v>344</v>
      </c>
      <c r="C129" s="160" t="str" cm="1">
        <f t="array" aca="1" ref="C129" ca="1">INDIRECT(ADDRESS(4,$C$123))</f>
        <v>ASHP</v>
      </c>
    </row>
    <row r="130" spans="2:7">
      <c r="B130" t="s">
        <v>139</v>
      </c>
      <c r="C130" s="160" t="str" cm="1">
        <f t="array" aca="1" ref="C130" ca="1">INDIRECT(ADDRESS(5,$C$123))</f>
        <v>Natural Ventilation</v>
      </c>
    </row>
    <row r="131" spans="2:7" ht="43.2">
      <c r="C131" s="160" t="s">
        <v>743</v>
      </c>
      <c r="D131" s="50" t="s">
        <v>744</v>
      </c>
      <c r="E131" s="50" t="s">
        <v>745</v>
      </c>
    </row>
    <row r="132" spans="2:7">
      <c r="B132" t="s">
        <v>736</v>
      </c>
      <c r="C132" s="6" cm="1">
        <f t="array" aca="1" ref="C132" ca="1">INDIRECT(ADDRESS(33,$C$123))</f>
        <v>0</v>
      </c>
      <c r="D132" s="143">
        <f ca="1">C132*'C&amp;B'!$D$13</f>
        <v>0</v>
      </c>
      <c r="E132" s="143">
        <f ca="1">D132*Embodied!$C$24/1000</f>
        <v>0</v>
      </c>
    </row>
    <row r="133" spans="2:7">
      <c r="B133" t="s">
        <v>735</v>
      </c>
      <c r="C133" s="6" cm="1">
        <f t="array" aca="1" ref="C133" ca="1">INDIRECT(ADDRESS(34,$C$123))</f>
        <v>29.265602814459029</v>
      </c>
      <c r="D133" s="143">
        <f ca="1">C133*'C&amp;B'!$D$13</f>
        <v>2470.0168775403422</v>
      </c>
      <c r="E133" s="143">
        <f ca="1">D133*Embodied!$C$24/1000</f>
        <v>1482.0101265242054</v>
      </c>
      <c r="G133" s="143"/>
    </row>
    <row r="134" spans="2:7">
      <c r="B134" t="s">
        <v>738</v>
      </c>
      <c r="C134" s="6" cm="1">
        <f t="array" aca="1" ref="C134" ca="1">INDIRECT(ADDRESS($C$124,$C$123))</f>
        <v>0.90184672528261112</v>
      </c>
      <c r="D134" s="143">
        <f ca="1">C134*'C&amp;B'!$D$13</f>
        <v>76.115863613852383</v>
      </c>
      <c r="E134" s="143">
        <f ca="1">D134*Embodied!$C$24/1000</f>
        <v>45.669518168311427</v>
      </c>
    </row>
    <row r="135" spans="2:7">
      <c r="B135" t="s">
        <v>737</v>
      </c>
      <c r="C135" s="6">
        <f ca="1">C134*SAP!C143/'C&amp;B'!D13</f>
        <v>9.6872103701242125</v>
      </c>
      <c r="D135" s="143">
        <f ca="1">C135*'C&amp;B'!$D$13</f>
        <v>817.60055523848359</v>
      </c>
      <c r="E135" s="143">
        <f ca="1">D135*Embodied!$C$24/1000</f>
        <v>490.56033314309013</v>
      </c>
    </row>
    <row r="136" spans="2:7">
      <c r="B136" t="s">
        <v>740</v>
      </c>
      <c r="C136" s="156">
        <f>D136/'C&amp;B'!D13</f>
        <v>5.5531966065415626</v>
      </c>
      <c r="D136" s="154">
        <f>C122</f>
        <v>468.68979359210789</v>
      </c>
      <c r="E136" s="153">
        <f>D136*Embodied!$C$24</f>
        <v>281213.87615526473</v>
      </c>
    </row>
    <row r="138" spans="2:7">
      <c r="B138" s="1" t="s">
        <v>774</v>
      </c>
    </row>
    <row r="139" spans="2:7" ht="43.2">
      <c r="C139" s="161" t="s">
        <v>743</v>
      </c>
      <c r="D139" s="50" t="s">
        <v>744</v>
      </c>
      <c r="E139" s="50" t="s">
        <v>745</v>
      </c>
    </row>
    <row r="140" spans="2:7">
      <c r="B140" t="s">
        <v>775</v>
      </c>
      <c r="C140" s="6" cm="1">
        <f t="array" aca="1" ref="C140" ca="1">INDIRECT(ADDRESS(29,$C$123))</f>
        <v>11.811764705882357</v>
      </c>
      <c r="D140" s="143">
        <f ca="1">C140*'C&amp;B'!$D$13</f>
        <v>996.91294117647101</v>
      </c>
      <c r="E140" s="143">
        <f ca="1">D140*Embodied!$C$24/1000</f>
        <v>598.14776470588265</v>
      </c>
    </row>
    <row r="141" spans="2:7">
      <c r="B141" t="s">
        <v>776</v>
      </c>
      <c r="C141" s="6" cm="1">
        <f t="array" aca="1" ref="C141" ca="1">INDIRECT(ADDRESS(30,$C$123))</f>
        <v>10.534782608695654</v>
      </c>
      <c r="D141" s="143">
        <f ca="1">C141*'C&amp;B'!$D$13</f>
        <v>889.13565217391329</v>
      </c>
      <c r="E141" s="143">
        <f ca="1">D141*Embodied!$C$24/1000</f>
        <v>533.48139130434799</v>
      </c>
    </row>
    <row r="142" spans="2:7">
      <c r="B142" t="s">
        <v>777</v>
      </c>
      <c r="C142" s="6">
        <f ca="1">SUM(C140:C141)</f>
        <v>22.346547314578011</v>
      </c>
      <c r="D142" s="143">
        <f ca="1">SUM(D140:D141)</f>
        <v>1886.0485933503842</v>
      </c>
      <c r="E142" s="143">
        <f ca="1">SUM(E140:E141)</f>
        <v>1131.6291560102306</v>
      </c>
    </row>
    <row r="143" spans="2:7">
      <c r="B143" t="s">
        <v>778</v>
      </c>
      <c r="C143" s="6">
        <f ca="1">(C140*SAP!$C$13/SAP!$C$18)+(C141*SAP!$C$13/SAP!$C$19)</f>
        <v>7.208677893263391</v>
      </c>
      <c r="D143" s="143">
        <f ca="1">C143*'C&amp;B'!$D$13</f>
        <v>608.41241419143023</v>
      </c>
      <c r="E143" s="143">
        <f ca="1">D143*Embodied!$C$24/1000</f>
        <v>365.04744851485816</v>
      </c>
    </row>
    <row r="144" spans="2:7">
      <c r="C144" s="6"/>
    </row>
    <row r="145" spans="2:3">
      <c r="B145" s="1" t="s">
        <v>786</v>
      </c>
      <c r="C145" s="164"/>
    </row>
    <row r="146" spans="2:3">
      <c r="B146" t="s">
        <v>787</v>
      </c>
      <c r="C146" s="164"/>
    </row>
    <row r="147" spans="2:3">
      <c r="B147" t="s">
        <v>788</v>
      </c>
      <c r="C147" s="154" t="str">
        <f>IF(AND(C114="Bespoke",ISNUMBER(T121)),"Options Available",IF(SUM(D121:T121)=0,"Not Possible","Options Available"))</f>
        <v>Options Available</v>
      </c>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H147"/>
  <sheetViews>
    <sheetView zoomScale="85" zoomScaleNormal="85" workbookViewId="0">
      <pane xSplit="2" ySplit="3" topLeftCell="C4" activePane="bottomRight" state="frozen"/>
      <selection activeCell="B3" sqref="B3"/>
      <selection pane="topRight" activeCell="B3" sqref="B3"/>
      <selection pane="bottomLeft" activeCell="B3" sqref="B3"/>
      <selection pane="bottomRight" activeCell="B3" sqref="B3"/>
    </sheetView>
  </sheetViews>
  <sheetFormatPr defaultRowHeight="14.4"/>
  <cols>
    <col min="1" max="1" width="7.21875" customWidth="1"/>
    <col min="2" max="2" width="44.77734375" customWidth="1"/>
    <col min="3" max="3" width="30.77734375" style="162" customWidth="1"/>
    <col min="4" max="19" width="12.21875" style="50" customWidth="1"/>
    <col min="20" max="20" width="12.21875" customWidth="1"/>
    <col min="22" max="22" width="28" style="11" customWidth="1"/>
    <col min="23" max="23" width="9.44140625" customWidth="1"/>
    <col min="41" max="41" width="37.77734375" customWidth="1"/>
  </cols>
  <sheetData>
    <row r="1" spans="2:58" ht="16.5" customHeight="1">
      <c r="C1" s="63" t="s">
        <v>381</v>
      </c>
      <c r="D1" s="52" t="s">
        <v>382</v>
      </c>
      <c r="E1" s="53" t="s">
        <v>383</v>
      </c>
      <c r="F1" s="54" t="s">
        <v>384</v>
      </c>
      <c r="G1" s="134" t="s">
        <v>678</v>
      </c>
      <c r="H1" s="55" t="s">
        <v>385</v>
      </c>
      <c r="X1" s="50"/>
      <c r="Y1" s="4"/>
    </row>
    <row r="2" spans="2:58">
      <c r="B2" s="1" t="s">
        <v>784</v>
      </c>
      <c r="D2" s="51" t="s">
        <v>618</v>
      </c>
      <c r="E2" s="51"/>
      <c r="T2" s="50"/>
      <c r="U2" s="51"/>
      <c r="V2" s="51" t="s">
        <v>522</v>
      </c>
    </row>
    <row r="3" spans="2:58" s="120" customFormat="1" ht="72">
      <c r="B3" s="115" t="s">
        <v>294</v>
      </c>
      <c r="C3" s="116" t="s">
        <v>336</v>
      </c>
      <c r="D3" s="117" t="s">
        <v>343</v>
      </c>
      <c r="E3" s="117" t="s">
        <v>721</v>
      </c>
      <c r="F3" s="117" t="s">
        <v>721</v>
      </c>
      <c r="G3" s="117" t="s">
        <v>600</v>
      </c>
      <c r="H3" s="117" t="s">
        <v>600</v>
      </c>
      <c r="I3" s="117" t="s">
        <v>600</v>
      </c>
      <c r="J3" s="117" t="s">
        <v>600</v>
      </c>
      <c r="K3" s="117" t="s">
        <v>601</v>
      </c>
      <c r="L3" s="117" t="s">
        <v>601</v>
      </c>
      <c r="M3" s="117" t="s">
        <v>602</v>
      </c>
      <c r="N3" s="117" t="s">
        <v>602</v>
      </c>
      <c r="O3" s="117" t="s">
        <v>603</v>
      </c>
      <c r="P3" s="117" t="s">
        <v>603</v>
      </c>
      <c r="Q3" s="117" t="s">
        <v>604</v>
      </c>
      <c r="R3" s="117" t="s">
        <v>604</v>
      </c>
      <c r="S3" s="117" t="s">
        <v>351</v>
      </c>
      <c r="T3" s="117" t="s">
        <v>791</v>
      </c>
      <c r="U3" s="119"/>
      <c r="V3" s="139" t="s">
        <v>16</v>
      </c>
      <c r="W3" s="117" t="s">
        <v>343</v>
      </c>
      <c r="X3" s="117" t="s">
        <v>435</v>
      </c>
      <c r="Y3" s="117" t="s">
        <v>436</v>
      </c>
      <c r="Z3" s="117" t="s">
        <v>437</v>
      </c>
      <c r="AA3" s="117" t="s">
        <v>438</v>
      </c>
      <c r="AB3" s="117" t="s">
        <v>439</v>
      </c>
      <c r="AC3" s="117" t="s">
        <v>440</v>
      </c>
      <c r="AD3" s="117" t="s">
        <v>441</v>
      </c>
      <c r="AE3" s="117" t="s">
        <v>442</v>
      </c>
      <c r="AF3" s="117" t="s">
        <v>443</v>
      </c>
      <c r="AG3" s="117" t="s">
        <v>444</v>
      </c>
      <c r="AH3" s="117" t="s">
        <v>445</v>
      </c>
      <c r="AI3" s="117" t="s">
        <v>446</v>
      </c>
      <c r="AJ3" s="117" t="s">
        <v>447</v>
      </c>
      <c r="AK3" s="117" t="s">
        <v>677</v>
      </c>
      <c r="AL3" s="117" t="s">
        <v>351</v>
      </c>
      <c r="AM3" s="117" t="s">
        <v>791</v>
      </c>
      <c r="AO3" s="139" t="s">
        <v>695</v>
      </c>
      <c r="AP3" s="117" t="s">
        <v>343</v>
      </c>
      <c r="AQ3" s="117" t="s">
        <v>435</v>
      </c>
      <c r="AR3" s="117" t="s">
        <v>436</v>
      </c>
      <c r="AS3" s="117" t="s">
        <v>437</v>
      </c>
      <c r="AT3" s="117" t="s">
        <v>438</v>
      </c>
      <c r="AU3" s="117" t="s">
        <v>439</v>
      </c>
      <c r="AV3" s="117" t="s">
        <v>440</v>
      </c>
      <c r="AW3" s="117" t="s">
        <v>441</v>
      </c>
      <c r="AX3" s="117" t="s">
        <v>442</v>
      </c>
      <c r="AY3" s="117" t="s">
        <v>443</v>
      </c>
      <c r="AZ3" s="117" t="s">
        <v>444</v>
      </c>
      <c r="BA3" s="117" t="s">
        <v>445</v>
      </c>
      <c r="BB3" s="117" t="s">
        <v>446</v>
      </c>
      <c r="BC3" s="117" t="s">
        <v>447</v>
      </c>
      <c r="BD3" s="117" t="s">
        <v>677</v>
      </c>
      <c r="BE3" s="117" t="s">
        <v>351</v>
      </c>
      <c r="BF3" s="117" t="s">
        <v>791</v>
      </c>
    </row>
    <row r="4" spans="2:58">
      <c r="C4" s="129" t="s">
        <v>345</v>
      </c>
      <c r="D4" s="52" t="s">
        <v>29</v>
      </c>
      <c r="E4" s="54" t="s">
        <v>29</v>
      </c>
      <c r="F4" s="54" t="s">
        <v>20</v>
      </c>
      <c r="G4" s="54" t="s">
        <v>29</v>
      </c>
      <c r="H4" s="54" t="s">
        <v>20</v>
      </c>
      <c r="I4" s="54" t="s">
        <v>29</v>
      </c>
      <c r="J4" s="54" t="s">
        <v>20</v>
      </c>
      <c r="K4" s="54" t="s">
        <v>29</v>
      </c>
      <c r="L4" s="54" t="s">
        <v>20</v>
      </c>
      <c r="M4" s="54" t="s">
        <v>29</v>
      </c>
      <c r="N4" s="54" t="s">
        <v>20</v>
      </c>
      <c r="O4" s="54" t="s">
        <v>29</v>
      </c>
      <c r="P4" s="54" t="s">
        <v>20</v>
      </c>
      <c r="Q4" s="54" t="s">
        <v>29</v>
      </c>
      <c r="R4" s="54" t="s">
        <v>20</v>
      </c>
      <c r="S4" s="52" t="s">
        <v>20</v>
      </c>
      <c r="T4" s="134" t="str">
        <f>INPUT!C34</f>
        <v>ASHP</v>
      </c>
      <c r="U4" s="50"/>
      <c r="V4" s="11" t="s">
        <v>699</v>
      </c>
      <c r="W4" s="50">
        <f>IF(D4="Gas",'C&amp;B'!$E$247,'C&amp;B'!$E$257)</f>
        <v>7452</v>
      </c>
      <c r="X4" s="50">
        <f>IF(E4="Gas",'C&amp;B'!$E$247,'C&amp;B'!$E$257)</f>
        <v>7452</v>
      </c>
      <c r="Y4" s="50">
        <f>IF(F4="Gas",'C&amp;B'!$E$247,'C&amp;B'!$E$257)</f>
        <v>3033</v>
      </c>
      <c r="Z4" s="50">
        <f>IF(G4="Gas",'C&amp;B'!$E$247,'C&amp;B'!$E$257)</f>
        <v>7452</v>
      </c>
      <c r="AA4" s="50">
        <f>IF(H4="Gas",'C&amp;B'!$E$247,'C&amp;B'!$E$257)</f>
        <v>3033</v>
      </c>
      <c r="AB4" s="50">
        <f>IF(I4="Gas",'C&amp;B'!$E$247,'C&amp;B'!$E$257)</f>
        <v>7452</v>
      </c>
      <c r="AC4" s="50">
        <f>IF(J4="Gas",'C&amp;B'!$E$247,'C&amp;B'!$E$257)</f>
        <v>3033</v>
      </c>
      <c r="AD4" s="50">
        <f>IF(K4="Gas",'C&amp;B'!$E$247,'C&amp;B'!$E$257)</f>
        <v>7452</v>
      </c>
      <c r="AE4" s="50">
        <f>IF(L4="Gas",'C&amp;B'!$E$247,'C&amp;B'!$E$257)</f>
        <v>3033</v>
      </c>
      <c r="AF4" s="50">
        <f>IF(M4="Gas",'C&amp;B'!$E$247,'C&amp;B'!$E$257)</f>
        <v>7452</v>
      </c>
      <c r="AG4" s="50">
        <f>IF(N4="Gas",'C&amp;B'!$E$247,'C&amp;B'!$E$257)</f>
        <v>3033</v>
      </c>
      <c r="AH4" s="50">
        <f>IF(O4="Gas",'C&amp;B'!$E$247,'C&amp;B'!$E$257)</f>
        <v>7452</v>
      </c>
      <c r="AI4" s="50">
        <f>IF(P4="Gas",'C&amp;B'!$E$247,'C&amp;B'!$E$257)</f>
        <v>3033</v>
      </c>
      <c r="AJ4" s="50">
        <f>IF(Q4="Gas",'C&amp;B'!$E$247,'C&amp;B'!$E$257)</f>
        <v>7452</v>
      </c>
      <c r="AK4" s="50">
        <f>IF(R4="Gas",'C&amp;B'!$E$247,'C&amp;B'!$E$257)</f>
        <v>3033</v>
      </c>
      <c r="AL4" s="50">
        <f>IF(S4="Gas",'C&amp;B'!$E$247,'C&amp;B'!$E$257)</f>
        <v>3033</v>
      </c>
      <c r="AM4" s="50">
        <f>IF(T4="Gas",'C&amp;B'!$E$247,'C&amp;B'!$E$257)</f>
        <v>3033</v>
      </c>
      <c r="AO4" s="162">
        <v>1</v>
      </c>
      <c r="AP4" s="14">
        <f t="shared" ref="AP4:BE6" si="0">$AO4*W4</f>
        <v>7452</v>
      </c>
      <c r="AQ4" s="14">
        <f t="shared" si="0"/>
        <v>7452</v>
      </c>
      <c r="AR4" s="14">
        <f t="shared" si="0"/>
        <v>3033</v>
      </c>
      <c r="AS4" s="14">
        <f t="shared" si="0"/>
        <v>7452</v>
      </c>
      <c r="AT4" s="14">
        <f t="shared" si="0"/>
        <v>3033</v>
      </c>
      <c r="AU4" s="14">
        <f t="shared" si="0"/>
        <v>7452</v>
      </c>
      <c r="AV4" s="14">
        <f t="shared" si="0"/>
        <v>3033</v>
      </c>
      <c r="AW4" s="14">
        <f t="shared" si="0"/>
        <v>7452</v>
      </c>
      <c r="AX4" s="14">
        <f t="shared" si="0"/>
        <v>3033</v>
      </c>
      <c r="AY4" s="14">
        <f t="shared" si="0"/>
        <v>7452</v>
      </c>
      <c r="AZ4" s="14">
        <f t="shared" si="0"/>
        <v>3033</v>
      </c>
      <c r="BA4" s="14">
        <f t="shared" si="0"/>
        <v>7452</v>
      </c>
      <c r="BB4" s="14">
        <f t="shared" si="0"/>
        <v>3033</v>
      </c>
      <c r="BC4" s="14">
        <f t="shared" si="0"/>
        <v>7452</v>
      </c>
      <c r="BD4" s="14">
        <f t="shared" si="0"/>
        <v>3033</v>
      </c>
      <c r="BE4" s="14">
        <f t="shared" si="0"/>
        <v>3033</v>
      </c>
      <c r="BF4" s="14">
        <f t="shared" ref="AQ4:BF19" si="1">$AO4*AM4</f>
        <v>3033</v>
      </c>
    </row>
    <row r="5" spans="2:58" s="4" customFormat="1">
      <c r="C5" s="129" t="s">
        <v>342</v>
      </c>
      <c r="D5" s="141" t="s">
        <v>688</v>
      </c>
      <c r="E5" s="140" t="s">
        <v>688</v>
      </c>
      <c r="F5" s="140" t="s">
        <v>688</v>
      </c>
      <c r="G5" s="140" t="s">
        <v>688</v>
      </c>
      <c r="H5" s="140" t="s">
        <v>688</v>
      </c>
      <c r="I5" s="140" t="s">
        <v>142</v>
      </c>
      <c r="J5" s="140" t="s">
        <v>142</v>
      </c>
      <c r="K5" s="140" t="s">
        <v>142</v>
      </c>
      <c r="L5" s="140" t="s">
        <v>142</v>
      </c>
      <c r="M5" s="140" t="s">
        <v>142</v>
      </c>
      <c r="N5" s="140" t="s">
        <v>142</v>
      </c>
      <c r="O5" s="140" t="s">
        <v>142</v>
      </c>
      <c r="P5" s="140" t="s">
        <v>142</v>
      </c>
      <c r="Q5" s="140" t="s">
        <v>142</v>
      </c>
      <c r="R5" s="140" t="s">
        <v>142</v>
      </c>
      <c r="S5" s="141" t="s">
        <v>688</v>
      </c>
      <c r="T5" s="142" t="str">
        <f>INPUT!C32</f>
        <v>Natural Ventilation</v>
      </c>
      <c r="U5" s="162"/>
      <c r="V5" s="11" t="s">
        <v>699</v>
      </c>
      <c r="W5" s="162">
        <f>IF(D5="Natural Ventilation",'C&amp;B'!$E$233,'C&amp;B'!$E$237+'C&amp;B'!$E$242)</f>
        <v>480</v>
      </c>
      <c r="X5" s="162">
        <f>IF(E5="Natural Ventilation",'C&amp;B'!$E$233,'C&amp;B'!$E$237+'C&amp;B'!$E$242)</f>
        <v>480</v>
      </c>
      <c r="Y5" s="162">
        <f>IF(F5="Natural Ventilation",'C&amp;B'!$E$233,'C&amp;B'!$E$237+'C&amp;B'!$E$242)</f>
        <v>480</v>
      </c>
      <c r="Z5" s="162">
        <f>IF(G5="Natural Ventilation",'C&amp;B'!$E$233,'C&amp;B'!$E$237+'C&amp;B'!$E$242)</f>
        <v>480</v>
      </c>
      <c r="AA5" s="162">
        <f>IF(H5="Natural Ventilation",'C&amp;B'!$E$233,'C&amp;B'!$E$237+'C&amp;B'!$E$242)</f>
        <v>480</v>
      </c>
      <c r="AB5" s="162">
        <f>IF(I5="Natural Ventilation",'C&amp;B'!$E$233,'C&amp;B'!$E$237+'C&amp;B'!$E$242)</f>
        <v>1835</v>
      </c>
      <c r="AC5" s="162">
        <f>IF(J5="Natural Ventilation",'C&amp;B'!$E$233,'C&amp;B'!$E$237+'C&amp;B'!$E$242)</f>
        <v>1835</v>
      </c>
      <c r="AD5" s="162">
        <f>IF(K5="Natural Ventilation",'C&amp;B'!$E$233,'C&amp;B'!$E$237+'C&amp;B'!$E$242)</f>
        <v>1835</v>
      </c>
      <c r="AE5" s="162">
        <f>IF(L5="Natural Ventilation",'C&amp;B'!$E$233,'C&amp;B'!$E$237+'C&amp;B'!$E$242)</f>
        <v>1835</v>
      </c>
      <c r="AF5" s="162">
        <f>IF(M5="Natural Ventilation",'C&amp;B'!$E$233,'C&amp;B'!$E$237+'C&amp;B'!$E$242)</f>
        <v>1835</v>
      </c>
      <c r="AG5" s="162">
        <f>IF(N5="Natural Ventilation",'C&amp;B'!$E$233,'C&amp;B'!$E$237+'C&amp;B'!$E$242)</f>
        <v>1835</v>
      </c>
      <c r="AH5" s="162">
        <f>IF(O5="Natural Ventilation",'C&amp;B'!$E$233,'C&amp;B'!$E$237+'C&amp;B'!$E$242)</f>
        <v>1835</v>
      </c>
      <c r="AI5" s="162">
        <f>IF(P5="Natural Ventilation",'C&amp;B'!$E$233,'C&amp;B'!$E$237+'C&amp;B'!$E$242)</f>
        <v>1835</v>
      </c>
      <c r="AJ5" s="162">
        <f>IF(Q5="Natural Ventilation",'C&amp;B'!$E$233,'C&amp;B'!$E$237+'C&amp;B'!$E$242)</f>
        <v>1835</v>
      </c>
      <c r="AK5" s="162">
        <f>IF(R5="Natural Ventilation",'C&amp;B'!$E$233,'C&amp;B'!$E$237+'C&amp;B'!$E$242)</f>
        <v>1835</v>
      </c>
      <c r="AL5" s="162">
        <f>IF(S5="Natural Ventilation",'C&amp;B'!$E$233,'C&amp;B'!$E$237+'C&amp;B'!$E$242)</f>
        <v>480</v>
      </c>
      <c r="AM5" s="162">
        <f>IF(T5="Natural Ventilation",'C&amp;B'!$E$233,'C&amp;B'!$E$237+'C&amp;B'!$E$242)</f>
        <v>480</v>
      </c>
      <c r="AO5" s="162">
        <v>1</v>
      </c>
      <c r="AP5" s="14">
        <f t="shared" si="0"/>
        <v>480</v>
      </c>
      <c r="AQ5" s="14">
        <f t="shared" si="0"/>
        <v>480</v>
      </c>
      <c r="AR5" s="14">
        <f t="shared" si="0"/>
        <v>480</v>
      </c>
      <c r="AS5" s="14">
        <f t="shared" si="0"/>
        <v>480</v>
      </c>
      <c r="AT5" s="14">
        <f t="shared" si="0"/>
        <v>480</v>
      </c>
      <c r="AU5" s="14">
        <f t="shared" si="0"/>
        <v>1835</v>
      </c>
      <c r="AV5" s="14">
        <f t="shared" si="0"/>
        <v>1835</v>
      </c>
      <c r="AW5" s="14">
        <f t="shared" si="0"/>
        <v>1835</v>
      </c>
      <c r="AX5" s="14">
        <f t="shared" si="0"/>
        <v>1835</v>
      </c>
      <c r="AY5" s="14">
        <f t="shared" si="0"/>
        <v>1835</v>
      </c>
      <c r="AZ5" s="14">
        <f t="shared" si="1"/>
        <v>1835</v>
      </c>
      <c r="BA5" s="14">
        <f t="shared" si="1"/>
        <v>1835</v>
      </c>
      <c r="BB5" s="14">
        <f t="shared" si="1"/>
        <v>1835</v>
      </c>
      <c r="BC5" s="14">
        <f t="shared" si="1"/>
        <v>1835</v>
      </c>
      <c r="BD5" s="14">
        <f t="shared" si="1"/>
        <v>1835</v>
      </c>
      <c r="BE5" s="14">
        <f t="shared" si="1"/>
        <v>480</v>
      </c>
      <c r="BF5" s="14">
        <f t="shared" si="1"/>
        <v>480</v>
      </c>
    </row>
    <row r="6" spans="2:58">
      <c r="B6" s="59" t="s">
        <v>337</v>
      </c>
      <c r="C6" s="129" t="s">
        <v>339</v>
      </c>
      <c r="D6" s="52">
        <v>0.18</v>
      </c>
      <c r="E6" s="53">
        <f>'C&amp;B'!D64</f>
        <v>0.18</v>
      </c>
      <c r="F6" s="53">
        <f>E6</f>
        <v>0.18</v>
      </c>
      <c r="G6" s="54">
        <f>$O6</f>
        <v>0.18</v>
      </c>
      <c r="H6" s="54">
        <f t="shared" ref="H6:N6" si="2">$O6</f>
        <v>0.18</v>
      </c>
      <c r="I6" s="54">
        <f t="shared" si="2"/>
        <v>0.18</v>
      </c>
      <c r="J6" s="54">
        <f t="shared" si="2"/>
        <v>0.18</v>
      </c>
      <c r="K6" s="54">
        <f t="shared" si="2"/>
        <v>0.18</v>
      </c>
      <c r="L6" s="54">
        <f t="shared" si="2"/>
        <v>0.18</v>
      </c>
      <c r="M6" s="54">
        <f t="shared" si="2"/>
        <v>0.18</v>
      </c>
      <c r="N6" s="54">
        <f t="shared" si="2"/>
        <v>0.18</v>
      </c>
      <c r="O6" s="53">
        <f>'C&amp;B'!H64</f>
        <v>0.18</v>
      </c>
      <c r="P6" s="53">
        <f>O6</f>
        <v>0.18</v>
      </c>
      <c r="Q6" s="53">
        <f>'C&amp;B'!I64</f>
        <v>0.18</v>
      </c>
      <c r="R6" s="53">
        <f>Q6</f>
        <v>0.18</v>
      </c>
      <c r="S6" s="52">
        <v>0.15</v>
      </c>
      <c r="T6" s="134">
        <f>INPUT!C25</f>
        <v>0.18</v>
      </c>
      <c r="U6" s="50"/>
      <c r="V6" s="138" t="s">
        <v>694</v>
      </c>
      <c r="W6" s="50">
        <f>IF(ISNUMBER(D6),VLOOKUP(D6,'C&amp;B'!$C$178:$E$186,3,FALSE),0)</f>
        <v>221</v>
      </c>
      <c r="X6" s="50">
        <f>IF(ISNUMBER(E6),VLOOKUP(E6,'C&amp;B'!$C$178:$E$186,3,FALSE),0)</f>
        <v>221</v>
      </c>
      <c r="Y6" s="50">
        <f>IF(ISNUMBER(F6),VLOOKUP(F6,'C&amp;B'!$C$178:$E$186,3,FALSE),0)</f>
        <v>221</v>
      </c>
      <c r="Z6" s="50">
        <f>IF(ISNUMBER(G6),VLOOKUP(G6,'C&amp;B'!$C$178:$E$186,3,FALSE),0)</f>
        <v>221</v>
      </c>
      <c r="AA6" s="50">
        <f>IF(ISNUMBER(H6),VLOOKUP(H6,'C&amp;B'!$C$178:$E$186,3,FALSE),0)</f>
        <v>221</v>
      </c>
      <c r="AB6" s="50">
        <f>IF(ISNUMBER(I6),VLOOKUP(I6,'C&amp;B'!$C$178:$E$186,3,FALSE),0)</f>
        <v>221</v>
      </c>
      <c r="AC6" s="50">
        <f>IF(ISNUMBER(J6),VLOOKUP(J6,'C&amp;B'!$C$178:$E$186,3,FALSE),0)</f>
        <v>221</v>
      </c>
      <c r="AD6" s="50">
        <f>IF(ISNUMBER(K6),VLOOKUP(K6,'C&amp;B'!$C$178:$E$186,3,FALSE),0)</f>
        <v>221</v>
      </c>
      <c r="AE6" s="50">
        <f>IF(ISNUMBER(L6),VLOOKUP(L6,'C&amp;B'!$C$178:$E$186,3,FALSE),0)</f>
        <v>221</v>
      </c>
      <c r="AF6" s="50">
        <f>IF(ISNUMBER(M6),VLOOKUP(M6,'C&amp;B'!$C$178:$E$186,3,FALSE),0)</f>
        <v>221</v>
      </c>
      <c r="AG6" s="50">
        <f>IF(ISNUMBER(N6),VLOOKUP(N6,'C&amp;B'!$C$178:$E$186,3,FALSE),0)</f>
        <v>221</v>
      </c>
      <c r="AH6" s="50">
        <f>IF(ISNUMBER(O6),VLOOKUP(O6,'C&amp;B'!$C$178:$E$186,3,FALSE),0)</f>
        <v>221</v>
      </c>
      <c r="AI6" s="50">
        <f>IF(ISNUMBER(P6),VLOOKUP(P6,'C&amp;B'!$C$178:$E$186,3,FALSE),0)</f>
        <v>221</v>
      </c>
      <c r="AJ6" s="50">
        <f>IF(ISNUMBER(Q6),VLOOKUP(Q6,'C&amp;B'!$C$178:$E$186,3,FALSE),0)</f>
        <v>221</v>
      </c>
      <c r="AK6" s="50">
        <f>IF(ISNUMBER(R6),VLOOKUP(R6,'C&amp;B'!$C$178:$E$186,3,FALSE),0)</f>
        <v>221</v>
      </c>
      <c r="AL6" s="50">
        <f>IF(ISNUMBER(S6),VLOOKUP(S6,'C&amp;B'!$C$178:$E$186,3,FALSE),0)</f>
        <v>224</v>
      </c>
      <c r="AM6" s="50">
        <f>IF(ISNUMBER(T6),VLOOKUP(T6,'C&amp;B'!$C$178:$E$186,3,FALSE),0)</f>
        <v>221</v>
      </c>
      <c r="AO6" s="162">
        <f>'C&amp;B'!E8</f>
        <v>18</v>
      </c>
      <c r="AP6" s="14">
        <f>$AO6*W6</f>
        <v>3978</v>
      </c>
      <c r="AQ6" s="14">
        <f t="shared" si="0"/>
        <v>3978</v>
      </c>
      <c r="AR6" s="14">
        <f t="shared" si="0"/>
        <v>3978</v>
      </c>
      <c r="AS6" s="14">
        <f t="shared" si="0"/>
        <v>3978</v>
      </c>
      <c r="AT6" s="14">
        <f t="shared" si="0"/>
        <v>3978</v>
      </c>
      <c r="AU6" s="14">
        <f t="shared" si="0"/>
        <v>3978</v>
      </c>
      <c r="AV6" s="14">
        <f t="shared" si="0"/>
        <v>3978</v>
      </c>
      <c r="AW6" s="14">
        <f t="shared" si="0"/>
        <v>3978</v>
      </c>
      <c r="AX6" s="14">
        <f t="shared" si="0"/>
        <v>3978</v>
      </c>
      <c r="AY6" s="14">
        <f t="shared" si="0"/>
        <v>3978</v>
      </c>
      <c r="AZ6" s="14">
        <f t="shared" si="0"/>
        <v>3978</v>
      </c>
      <c r="BA6" s="14">
        <f t="shared" si="0"/>
        <v>3978</v>
      </c>
      <c r="BB6" s="14">
        <f t="shared" si="0"/>
        <v>3978</v>
      </c>
      <c r="BC6" s="14">
        <f t="shared" si="0"/>
        <v>3978</v>
      </c>
      <c r="BD6" s="14">
        <f t="shared" si="0"/>
        <v>3978</v>
      </c>
      <c r="BE6" s="14">
        <f t="shared" si="0"/>
        <v>4032</v>
      </c>
      <c r="BF6" s="14">
        <f t="shared" si="1"/>
        <v>3978</v>
      </c>
    </row>
    <row r="7" spans="2:58">
      <c r="B7" s="59" t="s">
        <v>338</v>
      </c>
      <c r="C7" s="129" t="s">
        <v>339</v>
      </c>
      <c r="D7" s="52">
        <f>G7</f>
        <v>0.21</v>
      </c>
      <c r="E7" s="53">
        <f>'C&amp;B'!D65</f>
        <v>0.21</v>
      </c>
      <c r="F7" s="53">
        <f t="shared" ref="F7:F15" si="3">E7</f>
        <v>0.21</v>
      </c>
      <c r="G7" s="54">
        <f t="shared" ref="G7:N15" si="4">$O7</f>
        <v>0.21</v>
      </c>
      <c r="H7" s="54">
        <f t="shared" si="4"/>
        <v>0.21</v>
      </c>
      <c r="I7" s="54">
        <f t="shared" si="4"/>
        <v>0.21</v>
      </c>
      <c r="J7" s="54">
        <f t="shared" si="4"/>
        <v>0.21</v>
      </c>
      <c r="K7" s="54">
        <f t="shared" si="4"/>
        <v>0.21</v>
      </c>
      <c r="L7" s="54">
        <f t="shared" si="4"/>
        <v>0.21</v>
      </c>
      <c r="M7" s="54">
        <f t="shared" si="4"/>
        <v>0.21</v>
      </c>
      <c r="N7" s="54">
        <f t="shared" si="4"/>
        <v>0.21</v>
      </c>
      <c r="O7" s="53">
        <f>'C&amp;B'!H65</f>
        <v>0.21</v>
      </c>
      <c r="P7" s="53">
        <f t="shared" ref="P7:R15" si="5">O7</f>
        <v>0.21</v>
      </c>
      <c r="Q7" s="53">
        <f>'C&amp;B'!I65</f>
        <v>0.21</v>
      </c>
      <c r="R7" s="53">
        <f t="shared" si="5"/>
        <v>0.21</v>
      </c>
      <c r="S7" s="52">
        <f>Q7</f>
        <v>0.21</v>
      </c>
      <c r="T7" s="134">
        <f>INPUT!C26</f>
        <v>0.21</v>
      </c>
      <c r="U7" s="50"/>
      <c r="V7" s="138" t="s">
        <v>694</v>
      </c>
      <c r="W7" s="50">
        <f>IF(ISNUMBER(D7),VLOOKUP(D7,'C&amp;B'!$C$188:$E$194,3,FALSE),0)</f>
        <v>146</v>
      </c>
      <c r="X7" s="50">
        <f>IF(ISNUMBER(E7),VLOOKUP(E7,'C&amp;B'!$C$188:$E$194,3,FALSE),0)</f>
        <v>146</v>
      </c>
      <c r="Y7" s="50">
        <f>IF(ISNUMBER(F7),VLOOKUP(F7,'C&amp;B'!$C$188:$E$194,3,FALSE),0)</f>
        <v>146</v>
      </c>
      <c r="Z7" s="50">
        <f>IF(ISNUMBER(G7),VLOOKUP(G7,'C&amp;B'!$C$188:$E$194,3,FALSE),0)</f>
        <v>146</v>
      </c>
      <c r="AA7" s="50">
        <f>IF(ISNUMBER(H7),VLOOKUP(H7,'C&amp;B'!$C$188:$E$194,3,FALSE),0)</f>
        <v>146</v>
      </c>
      <c r="AB7" s="50">
        <f>IF(ISNUMBER(I7),VLOOKUP(I7,'C&amp;B'!$C$188:$E$194,3,FALSE),0)</f>
        <v>146</v>
      </c>
      <c r="AC7" s="50">
        <f>IF(ISNUMBER(J7),VLOOKUP(J7,'C&amp;B'!$C$188:$E$194,3,FALSE),0)</f>
        <v>146</v>
      </c>
      <c r="AD7" s="50">
        <f>IF(ISNUMBER(K7),VLOOKUP(K7,'C&amp;B'!$C$188:$E$194,3,FALSE),0)</f>
        <v>146</v>
      </c>
      <c r="AE7" s="50">
        <f>IF(ISNUMBER(L7),VLOOKUP(L7,'C&amp;B'!$C$188:$E$194,3,FALSE),0)</f>
        <v>146</v>
      </c>
      <c r="AF7" s="50">
        <f>IF(ISNUMBER(M7),VLOOKUP(M7,'C&amp;B'!$C$188:$E$194,3,FALSE),0)</f>
        <v>146</v>
      </c>
      <c r="AG7" s="50">
        <f>IF(ISNUMBER(N7),VLOOKUP(N7,'C&amp;B'!$C$188:$E$194,3,FALSE),0)</f>
        <v>146</v>
      </c>
      <c r="AH7" s="50">
        <f>IF(ISNUMBER(O7),VLOOKUP(O7,'C&amp;B'!$C$188:$E$194,3,FALSE),0)</f>
        <v>146</v>
      </c>
      <c r="AI7" s="50">
        <f>IF(ISNUMBER(P7),VLOOKUP(P7,'C&amp;B'!$C$188:$E$194,3,FALSE),0)</f>
        <v>146</v>
      </c>
      <c r="AJ7" s="50">
        <f>IF(ISNUMBER(Q7),VLOOKUP(Q7,'C&amp;B'!$C$188:$E$194,3,FALSE),0)</f>
        <v>146</v>
      </c>
      <c r="AK7" s="50">
        <f>IF(ISNUMBER(R7),VLOOKUP(R7,'C&amp;B'!$C$188:$E$194,3,FALSE),0)</f>
        <v>146</v>
      </c>
      <c r="AL7" s="50">
        <f>IF(ISNUMBER(S7),VLOOKUP(S7,'C&amp;B'!$C$188:$E$194,3,FALSE),0)</f>
        <v>146</v>
      </c>
      <c r="AM7" s="50">
        <f>IF(ISNUMBER(T7),VLOOKUP(T7,'C&amp;B'!$C$188:$E$194,3,FALSE),0)</f>
        <v>146</v>
      </c>
      <c r="AO7" s="162">
        <f>'C&amp;B'!E9</f>
        <v>24</v>
      </c>
      <c r="AP7" s="14">
        <f t="shared" ref="AP7:BE26" si="6">$AO7*W7</f>
        <v>3504</v>
      </c>
      <c r="AQ7" s="14">
        <f t="shared" si="1"/>
        <v>3504</v>
      </c>
      <c r="AR7" s="14">
        <f t="shared" si="1"/>
        <v>3504</v>
      </c>
      <c r="AS7" s="14">
        <f t="shared" si="1"/>
        <v>3504</v>
      </c>
      <c r="AT7" s="14">
        <f t="shared" si="1"/>
        <v>3504</v>
      </c>
      <c r="AU7" s="14">
        <f t="shared" si="1"/>
        <v>3504</v>
      </c>
      <c r="AV7" s="14">
        <f t="shared" si="1"/>
        <v>3504</v>
      </c>
      <c r="AW7" s="14">
        <f t="shared" si="1"/>
        <v>3504</v>
      </c>
      <c r="AX7" s="14">
        <f t="shared" si="1"/>
        <v>3504</v>
      </c>
      <c r="AY7" s="14">
        <f t="shared" si="1"/>
        <v>3504</v>
      </c>
      <c r="AZ7" s="14">
        <f t="shared" si="1"/>
        <v>3504</v>
      </c>
      <c r="BA7" s="14">
        <f t="shared" si="1"/>
        <v>3504</v>
      </c>
      <c r="BB7" s="14">
        <f t="shared" si="1"/>
        <v>3504</v>
      </c>
      <c r="BC7" s="14">
        <f t="shared" si="1"/>
        <v>3504</v>
      </c>
      <c r="BD7" s="14">
        <f t="shared" si="1"/>
        <v>3504</v>
      </c>
      <c r="BE7" s="14">
        <f t="shared" si="1"/>
        <v>3504</v>
      </c>
      <c r="BF7" s="14">
        <f t="shared" si="1"/>
        <v>3504</v>
      </c>
    </row>
    <row r="8" spans="2:58">
      <c r="B8" s="59" t="s">
        <v>131</v>
      </c>
      <c r="C8" s="129" t="s">
        <v>339</v>
      </c>
      <c r="D8" s="52">
        <v>0.13</v>
      </c>
      <c r="E8" s="53">
        <f>'C&amp;B'!D66</f>
        <v>0.13</v>
      </c>
      <c r="F8" s="53">
        <f t="shared" si="3"/>
        <v>0.13</v>
      </c>
      <c r="G8" s="54">
        <f t="shared" si="4"/>
        <v>0.15</v>
      </c>
      <c r="H8" s="54">
        <f t="shared" si="4"/>
        <v>0.15</v>
      </c>
      <c r="I8" s="54">
        <f t="shared" si="4"/>
        <v>0.15</v>
      </c>
      <c r="J8" s="54">
        <f t="shared" si="4"/>
        <v>0.15</v>
      </c>
      <c r="K8" s="54">
        <f t="shared" si="4"/>
        <v>0.15</v>
      </c>
      <c r="L8" s="54">
        <f t="shared" si="4"/>
        <v>0.15</v>
      </c>
      <c r="M8" s="54">
        <f t="shared" si="4"/>
        <v>0.15</v>
      </c>
      <c r="N8" s="54">
        <f t="shared" si="4"/>
        <v>0.15</v>
      </c>
      <c r="O8" s="53">
        <f>'C&amp;B'!H66</f>
        <v>0.15</v>
      </c>
      <c r="P8" s="53">
        <f t="shared" si="5"/>
        <v>0.15</v>
      </c>
      <c r="Q8" s="53">
        <f>'C&amp;B'!I66</f>
        <v>0.11</v>
      </c>
      <c r="R8" s="53">
        <f t="shared" si="5"/>
        <v>0.11</v>
      </c>
      <c r="S8" s="52">
        <v>0.11</v>
      </c>
      <c r="T8" s="134">
        <f>INPUT!C27</f>
        <v>0.13</v>
      </c>
      <c r="U8" s="50"/>
      <c r="V8" s="138" t="s">
        <v>694</v>
      </c>
      <c r="W8" s="50">
        <f>IF(ISNUMBER(D8),VLOOKUP(D8,'C&amp;B'!$C$196:$E$202,3,FALSE),0)</f>
        <v>152</v>
      </c>
      <c r="X8" s="50">
        <f>IF(ISNUMBER(E8),VLOOKUP(E8,'C&amp;B'!$C$196:$E$202,3,FALSE),0)</f>
        <v>152</v>
      </c>
      <c r="Y8" s="50">
        <f>IF(ISNUMBER(F8),VLOOKUP(F8,'C&amp;B'!$C$196:$E$202,3,FALSE),0)</f>
        <v>152</v>
      </c>
      <c r="Z8" s="50">
        <f>IF(ISNUMBER(G8),VLOOKUP(G8,'C&amp;B'!$C$196:$E$202,3,FALSE),0)</f>
        <v>146</v>
      </c>
      <c r="AA8" s="50">
        <f>IF(ISNUMBER(H8),VLOOKUP(H8,'C&amp;B'!$C$196:$E$202,3,FALSE),0)</f>
        <v>146</v>
      </c>
      <c r="AB8" s="50">
        <f>IF(ISNUMBER(I8),VLOOKUP(I8,'C&amp;B'!$C$196:$E$202,3,FALSE),0)</f>
        <v>146</v>
      </c>
      <c r="AC8" s="50">
        <f>IF(ISNUMBER(J8),VLOOKUP(J8,'C&amp;B'!$C$196:$E$202,3,FALSE),0)</f>
        <v>146</v>
      </c>
      <c r="AD8" s="50">
        <f>IF(ISNUMBER(K8),VLOOKUP(K8,'C&amp;B'!$C$196:$E$202,3,FALSE),0)</f>
        <v>146</v>
      </c>
      <c r="AE8" s="50">
        <f>IF(ISNUMBER(L8),VLOOKUP(L8,'C&amp;B'!$C$196:$E$202,3,FALSE),0)</f>
        <v>146</v>
      </c>
      <c r="AF8" s="50">
        <f>IF(ISNUMBER(M8),VLOOKUP(M8,'C&amp;B'!$C$196:$E$202,3,FALSE),0)</f>
        <v>146</v>
      </c>
      <c r="AG8" s="50">
        <f>IF(ISNUMBER(N8),VLOOKUP(N8,'C&amp;B'!$C$196:$E$202,3,FALSE),0)</f>
        <v>146</v>
      </c>
      <c r="AH8" s="50">
        <f>IF(ISNUMBER(O8),VLOOKUP(O8,'C&amp;B'!$C$196:$E$202,3,FALSE),0)</f>
        <v>146</v>
      </c>
      <c r="AI8" s="50">
        <f>IF(ISNUMBER(P8),VLOOKUP(P8,'C&amp;B'!$C$196:$E$202,3,FALSE),0)</f>
        <v>146</v>
      </c>
      <c r="AJ8" s="50">
        <f>IF(ISNUMBER(Q8),VLOOKUP(Q8,'C&amp;B'!$C$196:$E$202,3,FALSE),0)</f>
        <v>157</v>
      </c>
      <c r="AK8" s="50">
        <f>IF(ISNUMBER(R8),VLOOKUP(R8,'C&amp;B'!$C$196:$E$202,3,FALSE),0)</f>
        <v>157</v>
      </c>
      <c r="AL8" s="50">
        <f>IF(ISNUMBER(S8),VLOOKUP(S8,'C&amp;B'!$C$196:$E$202,3,FALSE),0)</f>
        <v>157</v>
      </c>
      <c r="AM8" s="50">
        <f>IF(ISNUMBER(T8),VLOOKUP(T8,'C&amp;B'!$C$196:$E$202,3,FALSE),0)</f>
        <v>152</v>
      </c>
      <c r="AO8" s="6">
        <f>'C&amp;B'!E12/'C&amp;B'!E18</f>
        <v>25</v>
      </c>
      <c r="AP8" s="14">
        <f t="shared" si="6"/>
        <v>3800</v>
      </c>
      <c r="AQ8" s="14">
        <f t="shared" si="1"/>
        <v>3800</v>
      </c>
      <c r="AR8" s="14">
        <f t="shared" si="1"/>
        <v>3800</v>
      </c>
      <c r="AS8" s="14">
        <f t="shared" si="1"/>
        <v>3650</v>
      </c>
      <c r="AT8" s="14">
        <f t="shared" si="1"/>
        <v>3650</v>
      </c>
      <c r="AU8" s="14">
        <f t="shared" si="1"/>
        <v>3650</v>
      </c>
      <c r="AV8" s="14">
        <f t="shared" si="1"/>
        <v>3650</v>
      </c>
      <c r="AW8" s="14">
        <f t="shared" si="1"/>
        <v>3650</v>
      </c>
      <c r="AX8" s="14">
        <f t="shared" si="1"/>
        <v>3650</v>
      </c>
      <c r="AY8" s="14">
        <f t="shared" si="1"/>
        <v>3650</v>
      </c>
      <c r="AZ8" s="14">
        <f t="shared" si="1"/>
        <v>3650</v>
      </c>
      <c r="BA8" s="14">
        <f t="shared" si="1"/>
        <v>3650</v>
      </c>
      <c r="BB8" s="14">
        <f t="shared" si="1"/>
        <v>3650</v>
      </c>
      <c r="BC8" s="14">
        <f t="shared" si="1"/>
        <v>3925</v>
      </c>
      <c r="BD8" s="14">
        <f t="shared" si="1"/>
        <v>3925</v>
      </c>
      <c r="BE8" s="14">
        <f t="shared" si="1"/>
        <v>3925</v>
      </c>
      <c r="BF8" s="14">
        <f t="shared" si="1"/>
        <v>3800</v>
      </c>
    </row>
    <row r="9" spans="2:58">
      <c r="B9" s="59" t="s">
        <v>341</v>
      </c>
      <c r="C9" s="129" t="s">
        <v>339</v>
      </c>
      <c r="D9" s="52">
        <v>0.11</v>
      </c>
      <c r="E9" s="53">
        <f>'C&amp;B'!D67</f>
        <v>0.13</v>
      </c>
      <c r="F9" s="53">
        <f t="shared" si="3"/>
        <v>0.13</v>
      </c>
      <c r="G9" s="54">
        <f t="shared" si="4"/>
        <v>0.11</v>
      </c>
      <c r="H9" s="54">
        <f t="shared" si="4"/>
        <v>0.11</v>
      </c>
      <c r="I9" s="54">
        <f t="shared" si="4"/>
        <v>0.11</v>
      </c>
      <c r="J9" s="54">
        <f t="shared" si="4"/>
        <v>0.11</v>
      </c>
      <c r="K9" s="54">
        <f t="shared" si="4"/>
        <v>0.11</v>
      </c>
      <c r="L9" s="54">
        <f t="shared" si="4"/>
        <v>0.11</v>
      </c>
      <c r="M9" s="54">
        <f t="shared" si="4"/>
        <v>0.11</v>
      </c>
      <c r="N9" s="54">
        <f t="shared" si="4"/>
        <v>0.11</v>
      </c>
      <c r="O9" s="53">
        <f>'C&amp;B'!H67</f>
        <v>0.11</v>
      </c>
      <c r="P9" s="53">
        <f t="shared" si="5"/>
        <v>0.11</v>
      </c>
      <c r="Q9" s="53">
        <f>'C&amp;B'!I67</f>
        <v>0.11</v>
      </c>
      <c r="R9" s="53">
        <f t="shared" si="5"/>
        <v>0.11</v>
      </c>
      <c r="S9" s="52">
        <v>0.11</v>
      </c>
      <c r="T9" s="134">
        <f>INPUT!C28</f>
        <v>0.13</v>
      </c>
      <c r="U9" s="50"/>
      <c r="V9" s="138" t="s">
        <v>694</v>
      </c>
      <c r="W9" s="50">
        <f>IF(ISNUMBER(D9),VLOOKUP(D9,'C&amp;B'!$C$204:$E$210,3,FALSE),0)</f>
        <v>187</v>
      </c>
      <c r="X9" s="50">
        <f>IF(ISNUMBER(E9),VLOOKUP(E9,'C&amp;B'!$C$204:$E$210,3,FALSE),0)</f>
        <v>185</v>
      </c>
      <c r="Y9" s="50">
        <f>IF(ISNUMBER(F9),VLOOKUP(F9,'C&amp;B'!$C$204:$E$210,3,FALSE),0)</f>
        <v>185</v>
      </c>
      <c r="Z9" s="50">
        <f>IF(ISNUMBER(G9),VLOOKUP(G9,'C&amp;B'!$C$204:$E$210,3,FALSE),0)</f>
        <v>187</v>
      </c>
      <c r="AA9" s="50">
        <f>IF(ISNUMBER(H9),VLOOKUP(H9,'C&amp;B'!$C$204:$E$210,3,FALSE),0)</f>
        <v>187</v>
      </c>
      <c r="AB9" s="50">
        <f>IF(ISNUMBER(I9),VLOOKUP(I9,'C&amp;B'!$C$204:$E$210,3,FALSE),0)</f>
        <v>187</v>
      </c>
      <c r="AC9" s="50">
        <f>IF(ISNUMBER(J9),VLOOKUP(J9,'C&amp;B'!$C$204:$E$210,3,FALSE),0)</f>
        <v>187</v>
      </c>
      <c r="AD9" s="50">
        <f>IF(ISNUMBER(K9),VLOOKUP(K9,'C&amp;B'!$C$204:$E$210,3,FALSE),0)</f>
        <v>187</v>
      </c>
      <c r="AE9" s="50">
        <f>IF(ISNUMBER(L9),VLOOKUP(L9,'C&amp;B'!$C$204:$E$210,3,FALSE),0)</f>
        <v>187</v>
      </c>
      <c r="AF9" s="50">
        <f>IF(ISNUMBER(M9),VLOOKUP(M9,'C&amp;B'!$C$204:$E$210,3,FALSE),0)</f>
        <v>187</v>
      </c>
      <c r="AG9" s="50">
        <f>IF(ISNUMBER(N9),VLOOKUP(N9,'C&amp;B'!$C$204:$E$210,3,FALSE),0)</f>
        <v>187</v>
      </c>
      <c r="AH9" s="50">
        <f>IF(ISNUMBER(O9),VLOOKUP(O9,'C&amp;B'!$C$204:$E$210,3,FALSE),0)</f>
        <v>187</v>
      </c>
      <c r="AI9" s="50">
        <f>IF(ISNUMBER(P9),VLOOKUP(P9,'C&amp;B'!$C$204:$E$210,3,FALSE),0)</f>
        <v>187</v>
      </c>
      <c r="AJ9" s="50">
        <f>IF(ISNUMBER(Q9),VLOOKUP(Q9,'C&amp;B'!$C$204:$E$210,3,FALSE),0)</f>
        <v>187</v>
      </c>
      <c r="AK9" s="50">
        <f>IF(ISNUMBER(R9),VLOOKUP(R9,'C&amp;B'!$C$204:$E$210,3,FALSE),0)</f>
        <v>187</v>
      </c>
      <c r="AL9" s="50">
        <f>IF(ISNUMBER(S9),VLOOKUP(S9,'C&amp;B'!$C$204:$E$210,3,FALSE),0)</f>
        <v>187</v>
      </c>
      <c r="AM9" s="50">
        <f>IF(ISNUMBER(T9),VLOOKUP(T9,'C&amp;B'!$C$204:$E$210,3,FALSE),0)</f>
        <v>185</v>
      </c>
      <c r="AO9" s="6">
        <f>'C&amp;B'!G10/'C&amp;B'!E18</f>
        <v>25</v>
      </c>
      <c r="AP9" s="14">
        <f t="shared" si="6"/>
        <v>4675</v>
      </c>
      <c r="AQ9" s="14">
        <f t="shared" si="1"/>
        <v>4625</v>
      </c>
      <c r="AR9" s="14">
        <f t="shared" si="1"/>
        <v>4625</v>
      </c>
      <c r="AS9" s="14">
        <f t="shared" si="1"/>
        <v>4675</v>
      </c>
      <c r="AT9" s="14">
        <f t="shared" si="1"/>
        <v>4675</v>
      </c>
      <c r="AU9" s="14">
        <f t="shared" si="1"/>
        <v>4675</v>
      </c>
      <c r="AV9" s="14">
        <f t="shared" si="1"/>
        <v>4675</v>
      </c>
      <c r="AW9" s="14">
        <f t="shared" si="1"/>
        <v>4675</v>
      </c>
      <c r="AX9" s="14">
        <f t="shared" si="1"/>
        <v>4675</v>
      </c>
      <c r="AY9" s="14">
        <f t="shared" si="1"/>
        <v>4675</v>
      </c>
      <c r="AZ9" s="14">
        <f t="shared" si="1"/>
        <v>4675</v>
      </c>
      <c r="BA9" s="14">
        <f t="shared" si="1"/>
        <v>4675</v>
      </c>
      <c r="BB9" s="14">
        <f t="shared" si="1"/>
        <v>4675</v>
      </c>
      <c r="BC9" s="14">
        <f t="shared" si="1"/>
        <v>4675</v>
      </c>
      <c r="BD9" s="14">
        <f t="shared" si="1"/>
        <v>4675</v>
      </c>
      <c r="BE9" s="14">
        <f t="shared" si="1"/>
        <v>4675</v>
      </c>
      <c r="BF9" s="14">
        <f t="shared" si="1"/>
        <v>4625</v>
      </c>
    </row>
    <row r="10" spans="2:58">
      <c r="B10" s="59" t="s">
        <v>340</v>
      </c>
      <c r="C10" s="129" t="s">
        <v>339</v>
      </c>
      <c r="D10" s="52">
        <v>0.11</v>
      </c>
      <c r="E10" s="53">
        <f>E9</f>
        <v>0.13</v>
      </c>
      <c r="F10" s="53">
        <f t="shared" si="3"/>
        <v>0.13</v>
      </c>
      <c r="G10" s="54">
        <f t="shared" si="4"/>
        <v>0.11</v>
      </c>
      <c r="H10" s="54">
        <f t="shared" si="4"/>
        <v>0.11</v>
      </c>
      <c r="I10" s="54">
        <f t="shared" si="4"/>
        <v>0.11</v>
      </c>
      <c r="J10" s="54">
        <f t="shared" si="4"/>
        <v>0.11</v>
      </c>
      <c r="K10" s="54">
        <f t="shared" si="4"/>
        <v>0.11</v>
      </c>
      <c r="L10" s="54">
        <f t="shared" si="4"/>
        <v>0.11</v>
      </c>
      <c r="M10" s="54">
        <f t="shared" si="4"/>
        <v>0.11</v>
      </c>
      <c r="N10" s="54">
        <f t="shared" si="4"/>
        <v>0.11</v>
      </c>
      <c r="O10" s="53">
        <f>O9</f>
        <v>0.11</v>
      </c>
      <c r="P10" s="53">
        <f t="shared" si="5"/>
        <v>0.11</v>
      </c>
      <c r="Q10" s="53">
        <f>Q9</f>
        <v>0.11</v>
      </c>
      <c r="R10" s="53">
        <f t="shared" si="5"/>
        <v>0.11</v>
      </c>
      <c r="S10" s="52">
        <v>0.11</v>
      </c>
      <c r="T10" s="134">
        <f>T9</f>
        <v>0.13</v>
      </c>
      <c r="U10" s="50"/>
      <c r="V10" s="138" t="s">
        <v>694</v>
      </c>
      <c r="W10" s="50">
        <f>W9</f>
        <v>187</v>
      </c>
      <c r="X10" s="50">
        <f t="shared" ref="X10:AM10" si="7">X9</f>
        <v>185</v>
      </c>
      <c r="Y10" s="50">
        <f t="shared" si="7"/>
        <v>185</v>
      </c>
      <c r="Z10" s="50">
        <f t="shared" si="7"/>
        <v>187</v>
      </c>
      <c r="AA10" s="50">
        <f t="shared" si="7"/>
        <v>187</v>
      </c>
      <c r="AB10" s="50">
        <f t="shared" si="7"/>
        <v>187</v>
      </c>
      <c r="AC10" s="50">
        <f t="shared" si="7"/>
        <v>187</v>
      </c>
      <c r="AD10" s="50">
        <f t="shared" si="7"/>
        <v>187</v>
      </c>
      <c r="AE10" s="50">
        <f t="shared" si="7"/>
        <v>187</v>
      </c>
      <c r="AF10" s="50">
        <f t="shared" si="7"/>
        <v>187</v>
      </c>
      <c r="AG10" s="50">
        <f t="shared" si="7"/>
        <v>187</v>
      </c>
      <c r="AH10" s="50">
        <f t="shared" si="7"/>
        <v>187</v>
      </c>
      <c r="AI10" s="50">
        <f t="shared" si="7"/>
        <v>187</v>
      </c>
      <c r="AJ10" s="50">
        <f t="shared" si="7"/>
        <v>187</v>
      </c>
      <c r="AK10" s="50">
        <f t="shared" si="7"/>
        <v>187</v>
      </c>
      <c r="AL10" s="50">
        <f t="shared" si="7"/>
        <v>187</v>
      </c>
      <c r="AM10" s="50">
        <f t="shared" si="7"/>
        <v>185</v>
      </c>
      <c r="AO10" s="162">
        <f>'C&amp;B'!G11</f>
        <v>0</v>
      </c>
      <c r="AP10" s="14">
        <f t="shared" si="6"/>
        <v>0</v>
      </c>
      <c r="AQ10" s="14">
        <f t="shared" si="1"/>
        <v>0</v>
      </c>
      <c r="AR10" s="14">
        <f t="shared" si="1"/>
        <v>0</v>
      </c>
      <c r="AS10" s="14">
        <f t="shared" si="1"/>
        <v>0</v>
      </c>
      <c r="AT10" s="14">
        <f t="shared" si="1"/>
        <v>0</v>
      </c>
      <c r="AU10" s="14">
        <f t="shared" si="1"/>
        <v>0</v>
      </c>
      <c r="AV10" s="14">
        <f t="shared" si="1"/>
        <v>0</v>
      </c>
      <c r="AW10" s="14">
        <f t="shared" si="1"/>
        <v>0</v>
      </c>
      <c r="AX10" s="14">
        <f t="shared" si="1"/>
        <v>0</v>
      </c>
      <c r="AY10" s="14">
        <f t="shared" si="1"/>
        <v>0</v>
      </c>
      <c r="AZ10" s="14">
        <f t="shared" si="1"/>
        <v>0</v>
      </c>
      <c r="BA10" s="14">
        <f t="shared" si="1"/>
        <v>0</v>
      </c>
      <c r="BB10" s="14">
        <f t="shared" si="1"/>
        <v>0</v>
      </c>
      <c r="BC10" s="14">
        <f t="shared" si="1"/>
        <v>0</v>
      </c>
      <c r="BD10" s="14">
        <f t="shared" si="1"/>
        <v>0</v>
      </c>
      <c r="BE10" s="14">
        <f t="shared" si="1"/>
        <v>0</v>
      </c>
      <c r="BF10" s="14">
        <f t="shared" si="1"/>
        <v>0</v>
      </c>
    </row>
    <row r="11" spans="2:58">
      <c r="B11" s="59" t="s">
        <v>136</v>
      </c>
      <c r="C11" s="129" t="s">
        <v>339</v>
      </c>
      <c r="D11" s="52">
        <v>1</v>
      </c>
      <c r="E11" s="53">
        <f>'C&amp;B'!D68</f>
        <v>1</v>
      </c>
      <c r="F11" s="53">
        <f t="shared" si="3"/>
        <v>1</v>
      </c>
      <c r="G11" s="54">
        <f t="shared" si="4"/>
        <v>1.4</v>
      </c>
      <c r="H11" s="54">
        <f t="shared" si="4"/>
        <v>1.4</v>
      </c>
      <c r="I11" s="54">
        <f t="shared" si="4"/>
        <v>1.4</v>
      </c>
      <c r="J11" s="54">
        <f t="shared" si="4"/>
        <v>1.4</v>
      </c>
      <c r="K11" s="54">
        <f t="shared" si="4"/>
        <v>1.4</v>
      </c>
      <c r="L11" s="54">
        <f t="shared" si="4"/>
        <v>1.4</v>
      </c>
      <c r="M11" s="54">
        <f t="shared" si="4"/>
        <v>1.4</v>
      </c>
      <c r="N11" s="54">
        <f t="shared" si="4"/>
        <v>1.4</v>
      </c>
      <c r="O11" s="53">
        <f>'C&amp;B'!H68</f>
        <v>1.4</v>
      </c>
      <c r="P11" s="53">
        <f t="shared" si="5"/>
        <v>1.4</v>
      </c>
      <c r="Q11" s="53">
        <f>'C&amp;B'!I68</f>
        <v>1.4</v>
      </c>
      <c r="R11" s="53">
        <f t="shared" si="5"/>
        <v>1.4</v>
      </c>
      <c r="S11" s="52">
        <v>1</v>
      </c>
      <c r="T11" s="134">
        <f>INPUT!C29</f>
        <v>1</v>
      </c>
      <c r="U11" s="50"/>
      <c r="V11" s="138" t="s">
        <v>694</v>
      </c>
      <c r="W11" s="50">
        <f>IF(ISNUMBER(D11),VLOOKUP(D11,'C&amp;B'!$C$212:$E$216,3,FALSE),0)</f>
        <v>330</v>
      </c>
      <c r="X11" s="50">
        <f>IF(ISNUMBER(E11),VLOOKUP(E11,'C&amp;B'!$C$212:$E$216,3,FALSE),0)</f>
        <v>330</v>
      </c>
      <c r="Y11" s="50">
        <f>IF(ISNUMBER(F11),VLOOKUP(F11,'C&amp;B'!$C$212:$E$216,3,FALSE),0)</f>
        <v>330</v>
      </c>
      <c r="Z11" s="50">
        <f>IF(ISNUMBER(G11),VLOOKUP(G11,'C&amp;B'!$C$212:$E$216,3,FALSE),0)</f>
        <v>240</v>
      </c>
      <c r="AA11" s="50">
        <f>IF(ISNUMBER(H11),VLOOKUP(H11,'C&amp;B'!$C$212:$E$216,3,FALSE),0)</f>
        <v>240</v>
      </c>
      <c r="AB11" s="50">
        <f>IF(ISNUMBER(I11),VLOOKUP(I11,'C&amp;B'!$C$212:$E$216,3,FALSE),0)</f>
        <v>240</v>
      </c>
      <c r="AC11" s="50">
        <f>IF(ISNUMBER(J11),VLOOKUP(J11,'C&amp;B'!$C$212:$E$216,3,FALSE),0)</f>
        <v>240</v>
      </c>
      <c r="AD11" s="50">
        <f>IF(ISNUMBER(K11),VLOOKUP(K11,'C&amp;B'!$C$212:$E$216,3,FALSE),0)</f>
        <v>240</v>
      </c>
      <c r="AE11" s="50">
        <f>IF(ISNUMBER(L11),VLOOKUP(L11,'C&amp;B'!$C$212:$E$216,3,FALSE),0)</f>
        <v>240</v>
      </c>
      <c r="AF11" s="50">
        <f>IF(ISNUMBER(M11),VLOOKUP(M11,'C&amp;B'!$C$212:$E$216,3,FALSE),0)</f>
        <v>240</v>
      </c>
      <c r="AG11" s="50">
        <f>IF(ISNUMBER(N11),VLOOKUP(N11,'C&amp;B'!$C$212:$E$216,3,FALSE),0)</f>
        <v>240</v>
      </c>
      <c r="AH11" s="50">
        <f>IF(ISNUMBER(O11),VLOOKUP(O11,'C&amp;B'!$C$212:$E$216,3,FALSE),0)</f>
        <v>240</v>
      </c>
      <c r="AI11" s="50">
        <f>IF(ISNUMBER(P11),VLOOKUP(P11,'C&amp;B'!$C$212:$E$216,3,FALSE),0)</f>
        <v>240</v>
      </c>
      <c r="AJ11" s="50">
        <f>IF(ISNUMBER(Q11),VLOOKUP(Q11,'C&amp;B'!$C$212:$E$216,3,FALSE),0)</f>
        <v>240</v>
      </c>
      <c r="AK11" s="50">
        <f>IF(ISNUMBER(R11),VLOOKUP(R11,'C&amp;B'!$C$212:$E$216,3,FALSE),0)</f>
        <v>240</v>
      </c>
      <c r="AL11" s="50">
        <f>IF(ISNUMBER(S11),VLOOKUP(S11,'C&amp;B'!$C$212:$E$216,3,FALSE),0)</f>
        <v>330</v>
      </c>
      <c r="AM11" s="50">
        <f>IF(ISNUMBER(T11),VLOOKUP(T11,'C&amp;B'!$C$212:$E$216,3,FALSE),0)</f>
        <v>330</v>
      </c>
      <c r="AO11" s="162">
        <f>'C&amp;B'!E15</f>
        <v>2.1</v>
      </c>
      <c r="AP11" s="14">
        <f t="shared" si="6"/>
        <v>693</v>
      </c>
      <c r="AQ11" s="14">
        <f t="shared" si="1"/>
        <v>693</v>
      </c>
      <c r="AR11" s="14">
        <f t="shared" si="1"/>
        <v>693</v>
      </c>
      <c r="AS11" s="14">
        <f t="shared" si="1"/>
        <v>504</v>
      </c>
      <c r="AT11" s="14">
        <f t="shared" si="1"/>
        <v>504</v>
      </c>
      <c r="AU11" s="14">
        <f t="shared" si="1"/>
        <v>504</v>
      </c>
      <c r="AV11" s="14">
        <f t="shared" si="1"/>
        <v>504</v>
      </c>
      <c r="AW11" s="14">
        <f t="shared" si="1"/>
        <v>504</v>
      </c>
      <c r="AX11" s="14">
        <f t="shared" si="1"/>
        <v>504</v>
      </c>
      <c r="AY11" s="14">
        <f t="shared" si="1"/>
        <v>504</v>
      </c>
      <c r="AZ11" s="14">
        <f t="shared" si="1"/>
        <v>504</v>
      </c>
      <c r="BA11" s="14">
        <f t="shared" si="1"/>
        <v>504</v>
      </c>
      <c r="BB11" s="14">
        <f t="shared" si="1"/>
        <v>504</v>
      </c>
      <c r="BC11" s="14">
        <f t="shared" si="1"/>
        <v>504</v>
      </c>
      <c r="BD11" s="14">
        <f t="shared" si="1"/>
        <v>504</v>
      </c>
      <c r="BE11" s="14">
        <f t="shared" si="1"/>
        <v>693</v>
      </c>
      <c r="BF11" s="14">
        <f t="shared" si="1"/>
        <v>693</v>
      </c>
    </row>
    <row r="12" spans="2:58">
      <c r="B12" s="59" t="s">
        <v>138</v>
      </c>
      <c r="C12" s="129" t="s">
        <v>339</v>
      </c>
      <c r="D12" s="52">
        <v>1.2</v>
      </c>
      <c r="E12" s="53">
        <f>'C&amp;B'!D69</f>
        <v>1.4</v>
      </c>
      <c r="F12" s="53">
        <f t="shared" si="3"/>
        <v>1.4</v>
      </c>
      <c r="G12" s="54">
        <f t="shared" si="4"/>
        <v>1.4</v>
      </c>
      <c r="H12" s="54">
        <f t="shared" si="4"/>
        <v>1.4</v>
      </c>
      <c r="I12" s="54">
        <f t="shared" si="4"/>
        <v>1.4</v>
      </c>
      <c r="J12" s="54">
        <f t="shared" si="4"/>
        <v>1.4</v>
      </c>
      <c r="K12" s="54">
        <f t="shared" si="4"/>
        <v>1.4</v>
      </c>
      <c r="L12" s="54">
        <f t="shared" si="4"/>
        <v>1.4</v>
      </c>
      <c r="M12" s="54">
        <f t="shared" si="4"/>
        <v>1.4</v>
      </c>
      <c r="N12" s="54">
        <f t="shared" si="4"/>
        <v>1.4</v>
      </c>
      <c r="O12" s="53">
        <f>'C&amp;B'!H69</f>
        <v>1.4</v>
      </c>
      <c r="P12" s="53">
        <f t="shared" si="5"/>
        <v>1.4</v>
      </c>
      <c r="Q12" s="53">
        <f>'C&amp;B'!I69</f>
        <v>1.4</v>
      </c>
      <c r="R12" s="53">
        <f t="shared" si="5"/>
        <v>1.4</v>
      </c>
      <c r="S12" s="52">
        <v>0.8</v>
      </c>
      <c r="T12" s="134">
        <f>INPUT!C30</f>
        <v>1.4</v>
      </c>
      <c r="U12" s="50"/>
      <c r="V12" s="138" t="s">
        <v>694</v>
      </c>
      <c r="W12" s="50">
        <f>IF(ISNUMBER(D12),VLOOKUP(D12,'C&amp;B'!$C$218:$E$222,3,FALSE),0)</f>
        <v>300</v>
      </c>
      <c r="X12" s="50">
        <f>IF(ISNUMBER(E12),VLOOKUP(E12,'C&amp;B'!$C$218:$E$222,3,FALSE),0)</f>
        <v>265</v>
      </c>
      <c r="Y12" s="50">
        <f>IF(ISNUMBER(F12),VLOOKUP(F12,'C&amp;B'!$C$218:$E$222,3,FALSE),0)</f>
        <v>265</v>
      </c>
      <c r="Z12" s="50">
        <f>IF(ISNUMBER(G12),VLOOKUP(G12,'C&amp;B'!$C$218:$E$222,3,FALSE),0)</f>
        <v>265</v>
      </c>
      <c r="AA12" s="50">
        <f>IF(ISNUMBER(H12),VLOOKUP(H12,'C&amp;B'!$C$218:$E$222,3,FALSE),0)</f>
        <v>265</v>
      </c>
      <c r="AB12" s="50">
        <f>IF(ISNUMBER(I12),VLOOKUP(I12,'C&amp;B'!$C$218:$E$222,3,FALSE),0)</f>
        <v>265</v>
      </c>
      <c r="AC12" s="50">
        <f>IF(ISNUMBER(J12),VLOOKUP(J12,'C&amp;B'!$C$218:$E$222,3,FALSE),0)</f>
        <v>265</v>
      </c>
      <c r="AD12" s="50">
        <f>IF(ISNUMBER(K12),VLOOKUP(K12,'C&amp;B'!$C$218:$E$222,3,FALSE),0)</f>
        <v>265</v>
      </c>
      <c r="AE12" s="50">
        <f>IF(ISNUMBER(L12),VLOOKUP(L12,'C&amp;B'!$C$218:$E$222,3,FALSE),0)</f>
        <v>265</v>
      </c>
      <c r="AF12" s="50">
        <f>IF(ISNUMBER(M12),VLOOKUP(M12,'C&amp;B'!$C$218:$E$222,3,FALSE),0)</f>
        <v>265</v>
      </c>
      <c r="AG12" s="50">
        <f>IF(ISNUMBER(N12),VLOOKUP(N12,'C&amp;B'!$C$218:$E$222,3,FALSE),0)</f>
        <v>265</v>
      </c>
      <c r="AH12" s="50">
        <f>IF(ISNUMBER(O12),VLOOKUP(O12,'C&amp;B'!$C$218:$E$222,3,FALSE),0)</f>
        <v>265</v>
      </c>
      <c r="AI12" s="50">
        <f>IF(ISNUMBER(P12),VLOOKUP(P12,'C&amp;B'!$C$218:$E$222,3,FALSE),0)</f>
        <v>265</v>
      </c>
      <c r="AJ12" s="50">
        <f>IF(ISNUMBER(Q12),VLOOKUP(Q12,'C&amp;B'!$C$218:$E$222,3,FALSE),0)</f>
        <v>265</v>
      </c>
      <c r="AK12" s="50">
        <f>IF(ISNUMBER(R12),VLOOKUP(R12,'C&amp;B'!$C$218:$E$222,3,FALSE),0)</f>
        <v>265</v>
      </c>
      <c r="AL12" s="50">
        <f>IF(ISNUMBER(S12),VLOOKUP(S12,'C&amp;B'!$C$218:$E$222,3,FALSE),0)</f>
        <v>360</v>
      </c>
      <c r="AM12" s="50">
        <f>IF(ISNUMBER(T12),VLOOKUP(T12,'C&amp;B'!$C$218:$E$222,3,FALSE),0)</f>
        <v>265</v>
      </c>
      <c r="AO12" s="162">
        <f>'C&amp;B'!E14</f>
        <v>9.8000000000000007</v>
      </c>
      <c r="AP12" s="14">
        <f t="shared" si="6"/>
        <v>2940</v>
      </c>
      <c r="AQ12" s="14">
        <f t="shared" si="1"/>
        <v>2597</v>
      </c>
      <c r="AR12" s="14">
        <f t="shared" si="1"/>
        <v>2597</v>
      </c>
      <c r="AS12" s="14">
        <f t="shared" si="1"/>
        <v>2597</v>
      </c>
      <c r="AT12" s="14">
        <f t="shared" si="1"/>
        <v>2597</v>
      </c>
      <c r="AU12" s="14">
        <f t="shared" si="1"/>
        <v>2597</v>
      </c>
      <c r="AV12" s="14">
        <f t="shared" si="1"/>
        <v>2597</v>
      </c>
      <c r="AW12" s="14">
        <f t="shared" si="1"/>
        <v>2597</v>
      </c>
      <c r="AX12" s="14">
        <f t="shared" si="1"/>
        <v>2597</v>
      </c>
      <c r="AY12" s="14">
        <f t="shared" si="1"/>
        <v>2597</v>
      </c>
      <c r="AZ12" s="14">
        <f t="shared" si="1"/>
        <v>2597</v>
      </c>
      <c r="BA12" s="14">
        <f t="shared" si="1"/>
        <v>2597</v>
      </c>
      <c r="BB12" s="14">
        <f t="shared" si="1"/>
        <v>2597</v>
      </c>
      <c r="BC12" s="14">
        <f t="shared" si="1"/>
        <v>2597</v>
      </c>
      <c r="BD12" s="14">
        <f t="shared" si="1"/>
        <v>2597</v>
      </c>
      <c r="BE12" s="14">
        <f t="shared" si="1"/>
        <v>3528.0000000000005</v>
      </c>
      <c r="BF12" s="14">
        <f t="shared" si="1"/>
        <v>2597</v>
      </c>
    </row>
    <row r="13" spans="2:58">
      <c r="B13" s="59" t="s">
        <v>389</v>
      </c>
      <c r="C13" s="129" t="s">
        <v>25</v>
      </c>
      <c r="D13" s="52">
        <v>0</v>
      </c>
      <c r="E13" s="53">
        <v>0</v>
      </c>
      <c r="F13" s="53">
        <f t="shared" si="3"/>
        <v>0</v>
      </c>
      <c r="G13" s="54">
        <f t="shared" si="4"/>
        <v>0.75</v>
      </c>
      <c r="H13" s="54">
        <f t="shared" si="4"/>
        <v>0.75</v>
      </c>
      <c r="I13" s="54">
        <f t="shared" si="4"/>
        <v>0.75</v>
      </c>
      <c r="J13" s="54">
        <f t="shared" si="4"/>
        <v>0.75</v>
      </c>
      <c r="K13" s="54">
        <f t="shared" si="4"/>
        <v>0.75</v>
      </c>
      <c r="L13" s="54">
        <f t="shared" si="4"/>
        <v>0.75</v>
      </c>
      <c r="M13" s="54">
        <f t="shared" si="4"/>
        <v>0.75</v>
      </c>
      <c r="N13" s="54">
        <f t="shared" si="4"/>
        <v>0.75</v>
      </c>
      <c r="O13" s="67">
        <v>0.75</v>
      </c>
      <c r="P13" s="53">
        <f t="shared" si="5"/>
        <v>0.75</v>
      </c>
      <c r="Q13" s="67">
        <v>0.75</v>
      </c>
      <c r="R13" s="53">
        <f t="shared" si="5"/>
        <v>0.75</v>
      </c>
      <c r="S13" s="68">
        <v>0</v>
      </c>
      <c r="T13" s="134">
        <f>INPUT!C33</f>
        <v>0</v>
      </c>
      <c r="U13" s="50"/>
      <c r="V13" s="138" t="s">
        <v>696</v>
      </c>
      <c r="W13" s="50">
        <v>0</v>
      </c>
      <c r="X13" s="50">
        <v>0</v>
      </c>
      <c r="Y13" s="50">
        <v>0</v>
      </c>
      <c r="Z13" s="50">
        <v>0</v>
      </c>
      <c r="AA13" s="50">
        <v>0</v>
      </c>
      <c r="AB13" s="50">
        <v>0</v>
      </c>
      <c r="AC13" s="50">
        <v>0</v>
      </c>
      <c r="AD13" s="50">
        <v>0</v>
      </c>
      <c r="AE13" s="50">
        <v>0</v>
      </c>
      <c r="AF13" s="50">
        <v>0</v>
      </c>
      <c r="AG13" s="50">
        <v>0</v>
      </c>
      <c r="AH13" s="50">
        <v>0</v>
      </c>
      <c r="AI13" s="50">
        <v>0</v>
      </c>
      <c r="AJ13" s="50">
        <v>0</v>
      </c>
      <c r="AK13" s="50">
        <v>0</v>
      </c>
      <c r="AL13" s="50">
        <v>0</v>
      </c>
      <c r="AM13" s="50">
        <v>0</v>
      </c>
      <c r="AO13" s="162">
        <f>'C&amp;B'!E13</f>
        <v>50</v>
      </c>
      <c r="AP13" s="14">
        <f t="shared" si="6"/>
        <v>0</v>
      </c>
      <c r="AQ13" s="14">
        <f t="shared" si="1"/>
        <v>0</v>
      </c>
      <c r="AR13" s="14">
        <f t="shared" si="1"/>
        <v>0</v>
      </c>
      <c r="AS13" s="14">
        <f t="shared" si="1"/>
        <v>0</v>
      </c>
      <c r="AT13" s="14">
        <f t="shared" si="1"/>
        <v>0</v>
      </c>
      <c r="AU13" s="14">
        <f t="shared" si="1"/>
        <v>0</v>
      </c>
      <c r="AV13" s="14">
        <f t="shared" si="1"/>
        <v>0</v>
      </c>
      <c r="AW13" s="14">
        <f t="shared" si="1"/>
        <v>0</v>
      </c>
      <c r="AX13" s="14">
        <f t="shared" si="1"/>
        <v>0</v>
      </c>
      <c r="AY13" s="14">
        <f t="shared" si="1"/>
        <v>0</v>
      </c>
      <c r="AZ13" s="14">
        <f t="shared" si="1"/>
        <v>0</v>
      </c>
      <c r="BA13" s="14">
        <f t="shared" si="1"/>
        <v>0</v>
      </c>
      <c r="BB13" s="14">
        <f t="shared" si="1"/>
        <v>0</v>
      </c>
      <c r="BC13" s="14">
        <f t="shared" si="1"/>
        <v>0</v>
      </c>
      <c r="BD13" s="14">
        <f t="shared" si="1"/>
        <v>0</v>
      </c>
      <c r="BE13" s="14">
        <f t="shared" si="1"/>
        <v>0</v>
      </c>
      <c r="BF13" s="14">
        <f t="shared" si="1"/>
        <v>0</v>
      </c>
    </row>
    <row r="14" spans="2:58">
      <c r="B14" s="59" t="s">
        <v>143</v>
      </c>
      <c r="C14" s="129" t="s">
        <v>144</v>
      </c>
      <c r="D14" s="52">
        <v>5</v>
      </c>
      <c r="E14" s="53">
        <f>'C&amp;B'!D71</f>
        <v>5</v>
      </c>
      <c r="F14" s="53">
        <f t="shared" si="3"/>
        <v>5</v>
      </c>
      <c r="G14" s="54">
        <f t="shared" si="4"/>
        <v>4</v>
      </c>
      <c r="H14" s="54">
        <f t="shared" si="4"/>
        <v>4</v>
      </c>
      <c r="I14" s="54">
        <f t="shared" si="4"/>
        <v>4</v>
      </c>
      <c r="J14" s="54">
        <f t="shared" si="4"/>
        <v>4</v>
      </c>
      <c r="K14" s="54">
        <f t="shared" si="4"/>
        <v>4</v>
      </c>
      <c r="L14" s="54">
        <f t="shared" si="4"/>
        <v>4</v>
      </c>
      <c r="M14" s="54">
        <f t="shared" si="4"/>
        <v>4</v>
      </c>
      <c r="N14" s="54">
        <f t="shared" si="4"/>
        <v>4</v>
      </c>
      <c r="O14" s="53">
        <f>'C&amp;B'!H71</f>
        <v>4</v>
      </c>
      <c r="P14" s="53">
        <f t="shared" si="5"/>
        <v>4</v>
      </c>
      <c r="Q14" s="53">
        <f>'C&amp;B'!I71</f>
        <v>4</v>
      </c>
      <c r="R14" s="53">
        <f t="shared" si="5"/>
        <v>4</v>
      </c>
      <c r="S14" s="52">
        <v>5</v>
      </c>
      <c r="T14" s="134">
        <f>INPUT!C31</f>
        <v>5</v>
      </c>
      <c r="U14" s="50"/>
      <c r="V14" s="138" t="s">
        <v>697</v>
      </c>
      <c r="W14" s="50">
        <f>IF(ISNUMBER(D14),VLOOKUP(D14,'C&amp;B'!$C$224:$E$228,3,FALSE),0)</f>
        <v>2</v>
      </c>
      <c r="X14" s="50">
        <f>IF(ISNUMBER(E14),VLOOKUP(E14,'C&amp;B'!$C$224:$E$228,3,FALSE),0)</f>
        <v>2</v>
      </c>
      <c r="Y14" s="50">
        <f>IF(ISNUMBER(F14),VLOOKUP(F14,'C&amp;B'!$C$224:$E$228,3,FALSE),0)</f>
        <v>2</v>
      </c>
      <c r="Z14" s="50">
        <f>IF(ISNUMBER(G14),VLOOKUP(G14,'C&amp;B'!$C$224:$E$228,3,FALSE),0)</f>
        <v>4</v>
      </c>
      <c r="AA14" s="50">
        <f>IF(ISNUMBER(H14),VLOOKUP(H14,'C&amp;B'!$C$224:$E$228,3,FALSE),0)</f>
        <v>4</v>
      </c>
      <c r="AB14" s="50">
        <f>IF(ISNUMBER(I14),VLOOKUP(I14,'C&amp;B'!$C$224:$E$228,3,FALSE),0)</f>
        <v>4</v>
      </c>
      <c r="AC14" s="50">
        <f>IF(ISNUMBER(J14),VLOOKUP(J14,'C&amp;B'!$C$224:$E$228,3,FALSE),0)</f>
        <v>4</v>
      </c>
      <c r="AD14" s="50">
        <f>IF(ISNUMBER(K14),VLOOKUP(K14,'C&amp;B'!$C$224:$E$228,3,FALSE),0)</f>
        <v>4</v>
      </c>
      <c r="AE14" s="50">
        <f>IF(ISNUMBER(L14),VLOOKUP(L14,'C&amp;B'!$C$224:$E$228,3,FALSE),0)</f>
        <v>4</v>
      </c>
      <c r="AF14" s="50">
        <f>IF(ISNUMBER(M14),VLOOKUP(M14,'C&amp;B'!$C$224:$E$228,3,FALSE),0)</f>
        <v>4</v>
      </c>
      <c r="AG14" s="50">
        <f>IF(ISNUMBER(N14),VLOOKUP(N14,'C&amp;B'!$C$224:$E$228,3,FALSE),0)</f>
        <v>4</v>
      </c>
      <c r="AH14" s="50">
        <f>IF(ISNUMBER(O14),VLOOKUP(O14,'C&amp;B'!$C$224:$E$228,3,FALSE),0)</f>
        <v>4</v>
      </c>
      <c r="AI14" s="50">
        <f>IF(ISNUMBER(P14),VLOOKUP(P14,'C&amp;B'!$C$224:$E$228,3,FALSE),0)</f>
        <v>4</v>
      </c>
      <c r="AJ14" s="50">
        <f>IF(ISNUMBER(Q14),VLOOKUP(Q14,'C&amp;B'!$C$224:$E$228,3,FALSE),0)</f>
        <v>4</v>
      </c>
      <c r="AK14" s="50">
        <f>IF(ISNUMBER(R14),VLOOKUP(R14,'C&amp;B'!$C$224:$E$228,3,FALSE),0)</f>
        <v>4</v>
      </c>
      <c r="AL14" s="50">
        <f>IF(ISNUMBER(S14),VLOOKUP(S14,'C&amp;B'!$C$224:$E$228,3,FALSE),0)</f>
        <v>2</v>
      </c>
      <c r="AM14" s="50">
        <f>IF(ISNUMBER(T14),VLOOKUP(T14,'C&amp;B'!$C$224:$E$228,3,FALSE),0)</f>
        <v>2</v>
      </c>
      <c r="AO14" s="162">
        <v>1</v>
      </c>
      <c r="AP14" s="14">
        <f t="shared" si="6"/>
        <v>2</v>
      </c>
      <c r="AQ14" s="14">
        <f t="shared" si="1"/>
        <v>2</v>
      </c>
      <c r="AR14" s="14">
        <f t="shared" si="1"/>
        <v>2</v>
      </c>
      <c r="AS14" s="14">
        <f t="shared" si="1"/>
        <v>4</v>
      </c>
      <c r="AT14" s="14">
        <f t="shared" si="1"/>
        <v>4</v>
      </c>
      <c r="AU14" s="14">
        <f t="shared" si="1"/>
        <v>4</v>
      </c>
      <c r="AV14" s="14">
        <f t="shared" si="1"/>
        <v>4</v>
      </c>
      <c r="AW14" s="14">
        <f t="shared" si="1"/>
        <v>4</v>
      </c>
      <c r="AX14" s="14">
        <f t="shared" si="1"/>
        <v>4</v>
      </c>
      <c r="AY14" s="14">
        <f t="shared" si="1"/>
        <v>4</v>
      </c>
      <c r="AZ14" s="14">
        <f t="shared" si="1"/>
        <v>4</v>
      </c>
      <c r="BA14" s="14">
        <f t="shared" si="1"/>
        <v>4</v>
      </c>
      <c r="BB14" s="14">
        <f t="shared" si="1"/>
        <v>4</v>
      </c>
      <c r="BC14" s="14">
        <f t="shared" si="1"/>
        <v>4</v>
      </c>
      <c r="BD14" s="14">
        <f t="shared" si="1"/>
        <v>4</v>
      </c>
      <c r="BE14" s="14">
        <f t="shared" si="1"/>
        <v>2</v>
      </c>
      <c r="BF14" s="14">
        <f t="shared" si="1"/>
        <v>2</v>
      </c>
    </row>
    <row r="15" spans="2:58">
      <c r="B15" s="59" t="s">
        <v>145</v>
      </c>
      <c r="C15" s="129" t="s">
        <v>146</v>
      </c>
      <c r="D15" s="52">
        <v>0.05</v>
      </c>
      <c r="E15" s="53">
        <f>'C&amp;B'!D72</f>
        <v>0.05</v>
      </c>
      <c r="F15" s="53">
        <f t="shared" si="3"/>
        <v>0.05</v>
      </c>
      <c r="G15" s="54">
        <f t="shared" si="4"/>
        <v>0.15</v>
      </c>
      <c r="H15" s="54">
        <f t="shared" si="4"/>
        <v>0.15</v>
      </c>
      <c r="I15" s="54">
        <f t="shared" si="4"/>
        <v>0.15</v>
      </c>
      <c r="J15" s="54">
        <f t="shared" si="4"/>
        <v>0.15</v>
      </c>
      <c r="K15" s="54">
        <f t="shared" si="4"/>
        <v>0.15</v>
      </c>
      <c r="L15" s="54">
        <f t="shared" si="4"/>
        <v>0.15</v>
      </c>
      <c r="M15" s="54">
        <f t="shared" si="4"/>
        <v>0.15</v>
      </c>
      <c r="N15" s="54">
        <f t="shared" si="4"/>
        <v>0.15</v>
      </c>
      <c r="O15" s="53">
        <f>'C&amp;B'!H72</f>
        <v>0.15</v>
      </c>
      <c r="P15" s="53">
        <f t="shared" si="5"/>
        <v>0.15</v>
      </c>
      <c r="Q15" s="53">
        <f>'C&amp;B'!I72</f>
        <v>0.06</v>
      </c>
      <c r="R15" s="53">
        <f t="shared" si="5"/>
        <v>0.06</v>
      </c>
      <c r="S15" s="52">
        <v>0.05</v>
      </c>
      <c r="T15" s="54">
        <f>S15</f>
        <v>0.05</v>
      </c>
      <c r="U15" s="50"/>
      <c r="V15" s="138" t="s">
        <v>696</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O15" s="162">
        <v>1</v>
      </c>
      <c r="AP15" s="14">
        <f t="shared" si="6"/>
        <v>0</v>
      </c>
      <c r="AQ15" s="14">
        <f t="shared" si="1"/>
        <v>0</v>
      </c>
      <c r="AR15" s="14">
        <f t="shared" si="1"/>
        <v>0</v>
      </c>
      <c r="AS15" s="14">
        <f t="shared" si="1"/>
        <v>0</v>
      </c>
      <c r="AT15" s="14">
        <f t="shared" si="1"/>
        <v>0</v>
      </c>
      <c r="AU15" s="14">
        <f t="shared" si="1"/>
        <v>0</v>
      </c>
      <c r="AV15" s="14">
        <f t="shared" si="1"/>
        <v>0</v>
      </c>
      <c r="AW15" s="14">
        <f t="shared" si="1"/>
        <v>0</v>
      </c>
      <c r="AX15" s="14">
        <f t="shared" si="1"/>
        <v>0</v>
      </c>
      <c r="AY15" s="14">
        <f t="shared" si="1"/>
        <v>0</v>
      </c>
      <c r="AZ15" s="14">
        <f t="shared" si="1"/>
        <v>0</v>
      </c>
      <c r="BA15" s="14">
        <f t="shared" si="1"/>
        <v>0</v>
      </c>
      <c r="BB15" s="14">
        <f t="shared" si="1"/>
        <v>0</v>
      </c>
      <c r="BC15" s="14">
        <f t="shared" si="1"/>
        <v>0</v>
      </c>
      <c r="BD15" s="14">
        <f t="shared" si="1"/>
        <v>0</v>
      </c>
      <c r="BE15" s="14">
        <f t="shared" si="1"/>
        <v>0</v>
      </c>
      <c r="BF15" s="14">
        <f t="shared" si="1"/>
        <v>0</v>
      </c>
    </row>
    <row r="16" spans="2:58">
      <c r="B16" s="59" t="s">
        <v>387</v>
      </c>
      <c r="C16" s="129" t="s">
        <v>25</v>
      </c>
      <c r="D16" s="72">
        <f>IF(D4="Gas",SAP!$C$13,SAP!$C$18)</f>
        <v>0.89500000000000002</v>
      </c>
      <c r="E16" s="72">
        <f>IF(E4="Gas",SAP!$C$13,SAP!$C$18)</f>
        <v>0.89500000000000002</v>
      </c>
      <c r="F16" s="72">
        <f>IF(F4="Gas",SAP!$C$13,SAP!$C$18)</f>
        <v>3.3999999999999986</v>
      </c>
      <c r="G16" s="72">
        <f>IF(G4="Gas",SAP!$C$13,SAP!$C$18)</f>
        <v>0.89500000000000002</v>
      </c>
      <c r="H16" s="72">
        <f>IF(H4="Gas",SAP!$C$13,SAP!$C$18)</f>
        <v>3.3999999999999986</v>
      </c>
      <c r="I16" s="72">
        <f>IF(I4="Gas",SAP!$C$13,SAP!$C$18)</f>
        <v>0.89500000000000002</v>
      </c>
      <c r="J16" s="72">
        <f>IF(J4="Gas",SAP!$C$13,SAP!$C$18)</f>
        <v>3.3999999999999986</v>
      </c>
      <c r="K16" s="72">
        <f>IF(K4="Gas",SAP!$C$13,SAP!$C$18)</f>
        <v>0.89500000000000002</v>
      </c>
      <c r="L16" s="72">
        <f>IF(L4="Gas",SAP!$C$13,SAP!$C$18)</f>
        <v>3.3999999999999986</v>
      </c>
      <c r="M16" s="72">
        <f>IF(M4="Gas",SAP!$C$13,SAP!$C$18)</f>
        <v>0.89500000000000002</v>
      </c>
      <c r="N16" s="72">
        <f>IF(N4="Gas",SAP!$C$13,SAP!$C$18)</f>
        <v>3.3999999999999986</v>
      </c>
      <c r="O16" s="72">
        <f>IF(O4="Gas",SAP!$C$13,SAP!$C$18)</f>
        <v>0.89500000000000002</v>
      </c>
      <c r="P16" s="72">
        <f>IF(P4="Gas",SAP!$C$13,SAP!$C$18)</f>
        <v>3.3999999999999986</v>
      </c>
      <c r="Q16" s="72">
        <f>IF(Q4="Gas",SAP!$C$13,SAP!$C$18)</f>
        <v>0.89500000000000002</v>
      </c>
      <c r="R16" s="72">
        <f>IF(R4="Gas",SAP!$C$13,SAP!$C$18)</f>
        <v>3.3999999999999986</v>
      </c>
      <c r="S16" s="72">
        <f>IF(S4="Gas",SAP!$C$13,SAP!$C$18)</f>
        <v>3.3999999999999986</v>
      </c>
      <c r="T16" s="72">
        <f>IF(T4="Gas",SAP!$C$13,SAP!$C$18)</f>
        <v>3.3999999999999986</v>
      </c>
      <c r="U16" s="50"/>
      <c r="V16" s="138" t="s">
        <v>696</v>
      </c>
      <c r="W16" s="50">
        <v>0</v>
      </c>
      <c r="X16" s="50">
        <v>0</v>
      </c>
      <c r="Y16" s="50">
        <v>0</v>
      </c>
      <c r="Z16" s="50">
        <v>0</v>
      </c>
      <c r="AA16" s="50">
        <v>0</v>
      </c>
      <c r="AB16" s="50">
        <v>0</v>
      </c>
      <c r="AC16" s="50">
        <v>0</v>
      </c>
      <c r="AD16" s="50">
        <v>0</v>
      </c>
      <c r="AE16" s="50">
        <v>0</v>
      </c>
      <c r="AF16" s="50">
        <v>0</v>
      </c>
      <c r="AG16" s="50">
        <v>0</v>
      </c>
      <c r="AH16" s="50">
        <v>0</v>
      </c>
      <c r="AI16" s="50">
        <v>0</v>
      </c>
      <c r="AJ16" s="50">
        <v>0</v>
      </c>
      <c r="AK16" s="50">
        <v>0</v>
      </c>
      <c r="AL16" s="50">
        <v>0</v>
      </c>
      <c r="AM16" s="50">
        <v>0</v>
      </c>
      <c r="AO16" s="162">
        <v>1</v>
      </c>
      <c r="AP16" s="14">
        <f t="shared" si="6"/>
        <v>0</v>
      </c>
      <c r="AQ16" s="14">
        <f t="shared" si="1"/>
        <v>0</v>
      </c>
      <c r="AR16" s="14">
        <f t="shared" si="1"/>
        <v>0</v>
      </c>
      <c r="AS16" s="14">
        <f t="shared" si="1"/>
        <v>0</v>
      </c>
      <c r="AT16" s="14">
        <f t="shared" si="1"/>
        <v>0</v>
      </c>
      <c r="AU16" s="14">
        <f t="shared" si="1"/>
        <v>0</v>
      </c>
      <c r="AV16" s="14">
        <f t="shared" si="1"/>
        <v>0</v>
      </c>
      <c r="AW16" s="14">
        <f t="shared" si="1"/>
        <v>0</v>
      </c>
      <c r="AX16" s="14">
        <f t="shared" si="1"/>
        <v>0</v>
      </c>
      <c r="AY16" s="14">
        <f t="shared" si="1"/>
        <v>0</v>
      </c>
      <c r="AZ16" s="14">
        <f t="shared" si="1"/>
        <v>0</v>
      </c>
      <c r="BA16" s="14">
        <f t="shared" si="1"/>
        <v>0</v>
      </c>
      <c r="BB16" s="14">
        <f t="shared" si="1"/>
        <v>0</v>
      </c>
      <c r="BC16" s="14">
        <f t="shared" si="1"/>
        <v>0</v>
      </c>
      <c r="BD16" s="14">
        <f t="shared" si="1"/>
        <v>0</v>
      </c>
      <c r="BE16" s="14">
        <f t="shared" si="1"/>
        <v>0</v>
      </c>
      <c r="BF16" s="14">
        <f t="shared" si="1"/>
        <v>0</v>
      </c>
    </row>
    <row r="17" spans="2:58">
      <c r="B17" s="59" t="s">
        <v>388</v>
      </c>
      <c r="C17" s="129" t="s">
        <v>25</v>
      </c>
      <c r="D17" s="72">
        <f>IF(D4="Gas",SAP!$C$13,SAP!$C$19)</f>
        <v>0.89500000000000002</v>
      </c>
      <c r="E17" s="72">
        <f>IF(E4="Gas",SAP!$C$13,SAP!$C$19)</f>
        <v>0.89500000000000002</v>
      </c>
      <c r="F17" s="72">
        <f>IF(F4="Gas",SAP!$C$13,SAP!$C$19)</f>
        <v>2.2999999999999998</v>
      </c>
      <c r="G17" s="72">
        <f>IF(G4="Gas",SAP!$C$13,SAP!$C$19)</f>
        <v>0.89500000000000002</v>
      </c>
      <c r="H17" s="72">
        <f>IF(H4="Gas",SAP!$C$13,SAP!$C$19)</f>
        <v>2.2999999999999998</v>
      </c>
      <c r="I17" s="72">
        <f>IF(I4="Gas",SAP!$C$13,SAP!$C$19)</f>
        <v>0.89500000000000002</v>
      </c>
      <c r="J17" s="72">
        <f>IF(J4="Gas",SAP!$C$13,SAP!$C$19)</f>
        <v>2.2999999999999998</v>
      </c>
      <c r="K17" s="72">
        <f>IF(K4="Gas",SAP!$C$13,SAP!$C$19)</f>
        <v>0.89500000000000002</v>
      </c>
      <c r="L17" s="72">
        <f>IF(L4="Gas",SAP!$C$13,SAP!$C$19)</f>
        <v>2.2999999999999998</v>
      </c>
      <c r="M17" s="72">
        <f>IF(M4="Gas",SAP!$C$13,SAP!$C$19)</f>
        <v>0.89500000000000002</v>
      </c>
      <c r="N17" s="72">
        <f>IF(N4="Gas",SAP!$C$13,SAP!$C$19)</f>
        <v>2.2999999999999998</v>
      </c>
      <c r="O17" s="72">
        <f>IF(O4="Gas",SAP!$C$13,SAP!$C$19)</f>
        <v>0.89500000000000002</v>
      </c>
      <c r="P17" s="72">
        <f>IF(P4="Gas",SAP!$C$13,SAP!$C$19)</f>
        <v>2.2999999999999998</v>
      </c>
      <c r="Q17" s="72">
        <f>IF(Q4="Gas",SAP!$C$13,SAP!$C$19)</f>
        <v>0.89500000000000002</v>
      </c>
      <c r="R17" s="72">
        <f>IF(R4="Gas",SAP!$C$13,SAP!$C$19)</f>
        <v>2.2999999999999998</v>
      </c>
      <c r="S17" s="72">
        <f>IF(S4="Gas",SAP!$C$13,SAP!$C$19)</f>
        <v>2.2999999999999998</v>
      </c>
      <c r="T17" s="72">
        <f>IF(T4="Gas",SAP!$C$13,SAP!$C$19)</f>
        <v>2.2999999999999998</v>
      </c>
      <c r="U17" s="50"/>
      <c r="V17" s="138" t="s">
        <v>696</v>
      </c>
      <c r="W17" s="50">
        <v>0</v>
      </c>
      <c r="X17" s="50">
        <v>0</v>
      </c>
      <c r="Y17" s="50">
        <v>0</v>
      </c>
      <c r="Z17" s="50">
        <v>0</v>
      </c>
      <c r="AA17" s="50">
        <v>0</v>
      </c>
      <c r="AB17" s="50">
        <v>0</v>
      </c>
      <c r="AC17" s="50">
        <v>0</v>
      </c>
      <c r="AD17" s="50">
        <v>0</v>
      </c>
      <c r="AE17" s="50">
        <v>0</v>
      </c>
      <c r="AF17" s="50">
        <v>0</v>
      </c>
      <c r="AG17" s="50">
        <v>0</v>
      </c>
      <c r="AH17" s="50">
        <v>0</v>
      </c>
      <c r="AI17" s="50">
        <v>0</v>
      </c>
      <c r="AJ17" s="50">
        <v>0</v>
      </c>
      <c r="AK17" s="50">
        <v>0</v>
      </c>
      <c r="AL17" s="50">
        <v>0</v>
      </c>
      <c r="AM17" s="50">
        <v>0</v>
      </c>
      <c r="AO17" s="162">
        <v>1</v>
      </c>
      <c r="AP17" s="14">
        <f t="shared" si="6"/>
        <v>0</v>
      </c>
      <c r="AQ17" s="14">
        <f t="shared" si="1"/>
        <v>0</v>
      </c>
      <c r="AR17" s="14">
        <f t="shared" si="1"/>
        <v>0</v>
      </c>
      <c r="AS17" s="14">
        <f t="shared" si="1"/>
        <v>0</v>
      </c>
      <c r="AT17" s="14">
        <f t="shared" si="1"/>
        <v>0</v>
      </c>
      <c r="AU17" s="14">
        <f t="shared" si="1"/>
        <v>0</v>
      </c>
      <c r="AV17" s="14">
        <f t="shared" si="1"/>
        <v>0</v>
      </c>
      <c r="AW17" s="14">
        <f t="shared" si="1"/>
        <v>0</v>
      </c>
      <c r="AX17" s="14">
        <f t="shared" si="1"/>
        <v>0</v>
      </c>
      <c r="AY17" s="14">
        <f t="shared" si="1"/>
        <v>0</v>
      </c>
      <c r="AZ17" s="14">
        <f t="shared" si="1"/>
        <v>0</v>
      </c>
      <c r="BA17" s="14">
        <f t="shared" si="1"/>
        <v>0</v>
      </c>
      <c r="BB17" s="14">
        <f t="shared" si="1"/>
        <v>0</v>
      </c>
      <c r="BC17" s="14">
        <f t="shared" si="1"/>
        <v>0</v>
      </c>
      <c r="BD17" s="14">
        <f t="shared" si="1"/>
        <v>0</v>
      </c>
      <c r="BE17" s="14">
        <f t="shared" si="1"/>
        <v>0</v>
      </c>
      <c r="BF17" s="14">
        <f t="shared" si="1"/>
        <v>0</v>
      </c>
    </row>
    <row r="18" spans="2:58">
      <c r="B18" s="59" t="s">
        <v>346</v>
      </c>
      <c r="C18" s="129" t="s">
        <v>345</v>
      </c>
      <c r="D18" s="52" t="str">
        <f t="shared" ref="D18:T18" si="8">D4</f>
        <v>Gas</v>
      </c>
      <c r="E18" s="54" t="str">
        <f t="shared" si="8"/>
        <v>Gas</v>
      </c>
      <c r="F18" s="54" t="str">
        <f t="shared" si="8"/>
        <v>ASHP</v>
      </c>
      <c r="G18" s="54" t="str">
        <f t="shared" si="8"/>
        <v>Gas</v>
      </c>
      <c r="H18" s="54" t="str">
        <f t="shared" si="8"/>
        <v>ASHP</v>
      </c>
      <c r="I18" s="54" t="str">
        <f t="shared" si="8"/>
        <v>Gas</v>
      </c>
      <c r="J18" s="54" t="str">
        <f t="shared" si="8"/>
        <v>ASHP</v>
      </c>
      <c r="K18" s="54" t="str">
        <f t="shared" si="8"/>
        <v>Gas</v>
      </c>
      <c r="L18" s="54" t="str">
        <f t="shared" si="8"/>
        <v>ASHP</v>
      </c>
      <c r="M18" s="54" t="str">
        <f t="shared" si="8"/>
        <v>Gas</v>
      </c>
      <c r="N18" s="54" t="str">
        <f t="shared" si="8"/>
        <v>ASHP</v>
      </c>
      <c r="O18" s="54" t="str">
        <f t="shared" si="8"/>
        <v>Gas</v>
      </c>
      <c r="P18" s="54" t="str">
        <f t="shared" si="8"/>
        <v>ASHP</v>
      </c>
      <c r="Q18" s="54" t="str">
        <f t="shared" si="8"/>
        <v>Gas</v>
      </c>
      <c r="R18" s="54" t="str">
        <f t="shared" si="8"/>
        <v>ASHP</v>
      </c>
      <c r="S18" s="52" t="str">
        <f t="shared" si="8"/>
        <v>ASHP</v>
      </c>
      <c r="T18" s="54" t="str">
        <f t="shared" si="8"/>
        <v>ASHP</v>
      </c>
      <c r="U18" s="50"/>
      <c r="V18" s="11" t="s">
        <v>699</v>
      </c>
      <c r="W18" s="50">
        <f>IF(D18="Gas",'C&amp;B'!$E$252,'C&amp;B'!$E$262)</f>
        <v>1123</v>
      </c>
      <c r="X18" s="50">
        <f>IF(E18="Gas",'C&amp;B'!$E$252,'C&amp;B'!$E$262)</f>
        <v>1123</v>
      </c>
      <c r="Y18" s="50">
        <f>IF(F18="Gas",'C&amp;B'!$E$252,'C&amp;B'!$E$262)</f>
        <v>1123</v>
      </c>
      <c r="Z18" s="50">
        <f>IF(G18="Gas",'C&amp;B'!$E$252,'C&amp;B'!$E$262)</f>
        <v>1123</v>
      </c>
      <c r="AA18" s="50">
        <f>IF(H18="Gas",'C&amp;B'!$E$252,'C&amp;B'!$E$262)</f>
        <v>1123</v>
      </c>
      <c r="AB18" s="50">
        <f>IF(I18="Gas",'C&amp;B'!$E$252,'C&amp;B'!$E$262)</f>
        <v>1123</v>
      </c>
      <c r="AC18" s="50">
        <f>IF(J18="Gas",'C&amp;B'!$E$252,'C&amp;B'!$E$262)</f>
        <v>1123</v>
      </c>
      <c r="AD18" s="50">
        <f>IF(K18="Gas",'C&amp;B'!$E$252,'C&amp;B'!$E$262)</f>
        <v>1123</v>
      </c>
      <c r="AE18" s="50">
        <f>IF(L18="Gas",'C&amp;B'!$E$252,'C&amp;B'!$E$262)</f>
        <v>1123</v>
      </c>
      <c r="AF18" s="50">
        <f>IF(M18="Gas",'C&amp;B'!$E$252,'C&amp;B'!$E$262)</f>
        <v>1123</v>
      </c>
      <c r="AG18" s="50">
        <f>IF(N18="Gas",'C&amp;B'!$E$252,'C&amp;B'!$E$262)</f>
        <v>1123</v>
      </c>
      <c r="AH18" s="50">
        <f>IF(O18="Gas",'C&amp;B'!$E$252,'C&amp;B'!$E$262)</f>
        <v>1123</v>
      </c>
      <c r="AI18" s="50">
        <f>IF(P18="Gas",'C&amp;B'!$E$252,'C&amp;B'!$E$262)</f>
        <v>1123</v>
      </c>
      <c r="AJ18" s="50">
        <f>IF(Q18="Gas",'C&amp;B'!$E$252,'C&amp;B'!$E$262)</f>
        <v>1123</v>
      </c>
      <c r="AK18" s="50">
        <f>IF(R18="Gas",'C&amp;B'!$E$252,'C&amp;B'!$E$262)</f>
        <v>1123</v>
      </c>
      <c r="AL18" s="50">
        <f>IF(S18="Gas",'C&amp;B'!$E$252,'C&amp;B'!$E$262)</f>
        <v>1123</v>
      </c>
      <c r="AM18" s="50">
        <f>IF(T18="Gas",'C&amp;B'!$E$252,'C&amp;B'!$E$262)</f>
        <v>1123</v>
      </c>
      <c r="AO18" s="162">
        <v>1</v>
      </c>
      <c r="AP18" s="14">
        <f t="shared" si="6"/>
        <v>1123</v>
      </c>
      <c r="AQ18" s="14">
        <f t="shared" si="1"/>
        <v>1123</v>
      </c>
      <c r="AR18" s="14">
        <f t="shared" si="1"/>
        <v>1123</v>
      </c>
      <c r="AS18" s="14">
        <f t="shared" si="1"/>
        <v>1123</v>
      </c>
      <c r="AT18" s="14">
        <f t="shared" si="1"/>
        <v>1123</v>
      </c>
      <c r="AU18" s="14">
        <f t="shared" si="1"/>
        <v>1123</v>
      </c>
      <c r="AV18" s="14">
        <f t="shared" si="1"/>
        <v>1123</v>
      </c>
      <c r="AW18" s="14">
        <f t="shared" si="1"/>
        <v>1123</v>
      </c>
      <c r="AX18" s="14">
        <f t="shared" si="1"/>
        <v>1123</v>
      </c>
      <c r="AY18" s="14">
        <f t="shared" si="1"/>
        <v>1123</v>
      </c>
      <c r="AZ18" s="14">
        <f t="shared" si="1"/>
        <v>1123</v>
      </c>
      <c r="BA18" s="14">
        <f t="shared" si="1"/>
        <v>1123</v>
      </c>
      <c r="BB18" s="14">
        <f t="shared" si="1"/>
        <v>1123</v>
      </c>
      <c r="BC18" s="14">
        <f t="shared" si="1"/>
        <v>1123</v>
      </c>
      <c r="BD18" s="14">
        <f t="shared" si="1"/>
        <v>1123</v>
      </c>
      <c r="BE18" s="14">
        <f t="shared" si="1"/>
        <v>1123</v>
      </c>
      <c r="BF18" s="14">
        <f t="shared" si="1"/>
        <v>1123</v>
      </c>
    </row>
    <row r="19" spans="2:58">
      <c r="B19" s="59" t="s">
        <v>347</v>
      </c>
      <c r="C19" s="129" t="s">
        <v>345</v>
      </c>
      <c r="D19" s="52" t="str">
        <f>D18</f>
        <v>Gas</v>
      </c>
      <c r="E19" s="54" t="str">
        <f t="shared" ref="E19:T19" si="9">E18</f>
        <v>Gas</v>
      </c>
      <c r="F19" s="54" t="str">
        <f t="shared" si="9"/>
        <v>ASHP</v>
      </c>
      <c r="G19" s="54" t="str">
        <f t="shared" si="9"/>
        <v>Gas</v>
      </c>
      <c r="H19" s="54" t="str">
        <f t="shared" si="9"/>
        <v>ASHP</v>
      </c>
      <c r="I19" s="54" t="str">
        <f t="shared" si="9"/>
        <v>Gas</v>
      </c>
      <c r="J19" s="54" t="str">
        <f t="shared" si="9"/>
        <v>ASHP</v>
      </c>
      <c r="K19" s="54" t="str">
        <f t="shared" si="9"/>
        <v>Gas</v>
      </c>
      <c r="L19" s="54" t="str">
        <f t="shared" si="9"/>
        <v>ASHP</v>
      </c>
      <c r="M19" s="54" t="str">
        <f t="shared" si="9"/>
        <v>Gas</v>
      </c>
      <c r="N19" s="54" t="str">
        <f t="shared" si="9"/>
        <v>ASHP</v>
      </c>
      <c r="O19" s="54" t="str">
        <f t="shared" si="9"/>
        <v>Gas</v>
      </c>
      <c r="P19" s="54" t="str">
        <f t="shared" si="9"/>
        <v>ASHP</v>
      </c>
      <c r="Q19" s="54" t="str">
        <f t="shared" si="9"/>
        <v>Gas</v>
      </c>
      <c r="R19" s="54" t="str">
        <f t="shared" si="9"/>
        <v>ASHP</v>
      </c>
      <c r="S19" s="52" t="str">
        <f>S18</f>
        <v>ASHP</v>
      </c>
      <c r="T19" s="54" t="str">
        <f t="shared" si="9"/>
        <v>ASHP</v>
      </c>
      <c r="U19" s="50"/>
      <c r="V19" s="11" t="s">
        <v>699</v>
      </c>
      <c r="W19" s="50">
        <f>IF(D19="Gas",'C&amp;B'!$E$267,'C&amp;B'!$E$269)</f>
        <v>988</v>
      </c>
      <c r="X19" s="50">
        <f>IF(E19="Gas",'C&amp;B'!$E$267,'C&amp;B'!$E$269)</f>
        <v>988</v>
      </c>
      <c r="Y19" s="50">
        <f>IF(F19="Gas",'C&amp;B'!$E$267,'C&amp;B'!$E$269)</f>
        <v>85</v>
      </c>
      <c r="Z19" s="50">
        <f>IF(G19="Gas",'C&amp;B'!$E$267,'C&amp;B'!$E$269)</f>
        <v>988</v>
      </c>
      <c r="AA19" s="50">
        <f>IF(H19="Gas",'C&amp;B'!$E$267,'C&amp;B'!$E$269)</f>
        <v>85</v>
      </c>
      <c r="AB19" s="50">
        <f>IF(I19="Gas",'C&amp;B'!$E$267,'C&amp;B'!$E$269)</f>
        <v>988</v>
      </c>
      <c r="AC19" s="50">
        <f>IF(J19="Gas",'C&amp;B'!$E$267,'C&amp;B'!$E$269)</f>
        <v>85</v>
      </c>
      <c r="AD19" s="50">
        <f>IF(K19="Gas",'C&amp;B'!$E$267,'C&amp;B'!$E$269)</f>
        <v>988</v>
      </c>
      <c r="AE19" s="50">
        <f>IF(L19="Gas",'C&amp;B'!$E$267,'C&amp;B'!$E$269)</f>
        <v>85</v>
      </c>
      <c r="AF19" s="50">
        <f>IF(M19="Gas",'C&amp;B'!$E$267,'C&amp;B'!$E$269)</f>
        <v>988</v>
      </c>
      <c r="AG19" s="50">
        <f>IF(N19="Gas",'C&amp;B'!$E$267,'C&amp;B'!$E$269)</f>
        <v>85</v>
      </c>
      <c r="AH19" s="50">
        <f>IF(O19="Gas",'C&amp;B'!$E$267,'C&amp;B'!$E$269)</f>
        <v>988</v>
      </c>
      <c r="AI19" s="50">
        <f>IF(P19="Gas",'C&amp;B'!$E$267,'C&amp;B'!$E$269)</f>
        <v>85</v>
      </c>
      <c r="AJ19" s="50">
        <f>IF(Q19="Gas",'C&amp;B'!$E$267,'C&amp;B'!$E$269)</f>
        <v>988</v>
      </c>
      <c r="AK19" s="50">
        <f>IF(R19="Gas",'C&amp;B'!$E$267,'C&amp;B'!$E$269)</f>
        <v>85</v>
      </c>
      <c r="AL19" s="50">
        <f>IF(S19="Gas",'C&amp;B'!$E$267,'C&amp;B'!$E$269)</f>
        <v>85</v>
      </c>
      <c r="AM19" s="50">
        <f>IF(T19="Gas",'C&amp;B'!$E$267,'C&amp;B'!$E$269)</f>
        <v>85</v>
      </c>
      <c r="AO19" s="162">
        <v>1</v>
      </c>
      <c r="AP19" s="14">
        <f t="shared" si="6"/>
        <v>988</v>
      </c>
      <c r="AQ19" s="14">
        <f t="shared" si="1"/>
        <v>988</v>
      </c>
      <c r="AR19" s="14">
        <f t="shared" si="1"/>
        <v>85</v>
      </c>
      <c r="AS19" s="14">
        <f t="shared" si="1"/>
        <v>988</v>
      </c>
      <c r="AT19" s="14">
        <f t="shared" si="1"/>
        <v>85</v>
      </c>
      <c r="AU19" s="14">
        <f t="shared" si="1"/>
        <v>988</v>
      </c>
      <c r="AV19" s="14">
        <f t="shared" si="1"/>
        <v>85</v>
      </c>
      <c r="AW19" s="14">
        <f t="shared" si="1"/>
        <v>988</v>
      </c>
      <c r="AX19" s="14">
        <f t="shared" si="1"/>
        <v>85</v>
      </c>
      <c r="AY19" s="14">
        <f t="shared" si="1"/>
        <v>988</v>
      </c>
      <c r="AZ19" s="14">
        <f t="shared" si="1"/>
        <v>85</v>
      </c>
      <c r="BA19" s="14">
        <f t="shared" si="1"/>
        <v>988</v>
      </c>
      <c r="BB19" s="14">
        <f t="shared" si="1"/>
        <v>85</v>
      </c>
      <c r="BC19" s="14">
        <f t="shared" si="1"/>
        <v>988</v>
      </c>
      <c r="BD19" s="14">
        <f t="shared" si="1"/>
        <v>85</v>
      </c>
      <c r="BE19" s="14">
        <f t="shared" si="1"/>
        <v>85</v>
      </c>
      <c r="BF19" s="14">
        <f t="shared" si="1"/>
        <v>85</v>
      </c>
    </row>
    <row r="20" spans="2:58">
      <c r="B20" s="59" t="s">
        <v>349</v>
      </c>
      <c r="C20" s="129" t="s">
        <v>350</v>
      </c>
      <c r="D20" s="52" t="s">
        <v>365</v>
      </c>
      <c r="E20" s="54" t="s">
        <v>365</v>
      </c>
      <c r="F20" s="54" t="s">
        <v>365</v>
      </c>
      <c r="G20" s="54" t="s">
        <v>365</v>
      </c>
      <c r="H20" s="54" t="s">
        <v>365</v>
      </c>
      <c r="I20" s="54" t="s">
        <v>365</v>
      </c>
      <c r="J20" s="54" t="s">
        <v>365</v>
      </c>
      <c r="K20" s="54" t="s">
        <v>365</v>
      </c>
      <c r="L20" s="54" t="s">
        <v>365</v>
      </c>
      <c r="M20" s="54" t="s">
        <v>365</v>
      </c>
      <c r="N20" s="54" t="s">
        <v>365</v>
      </c>
      <c r="O20" s="54" t="s">
        <v>365</v>
      </c>
      <c r="P20" s="54" t="s">
        <v>365</v>
      </c>
      <c r="Q20" s="54" t="s">
        <v>365</v>
      </c>
      <c r="R20" s="54" t="s">
        <v>365</v>
      </c>
      <c r="S20" s="52" t="s">
        <v>365</v>
      </c>
      <c r="T20" s="54" t="s">
        <v>365</v>
      </c>
      <c r="U20" s="50"/>
      <c r="V20" s="11" t="s">
        <v>699</v>
      </c>
      <c r="W20" s="50">
        <f>IF(D20="Large",'C&amp;B'!$E$293,'C&amp;B'!$E$288)</f>
        <v>450</v>
      </c>
      <c r="X20" s="50">
        <f>IF(E20="Large",'C&amp;B'!$E$293,'C&amp;B'!$E$288)</f>
        <v>450</v>
      </c>
      <c r="Y20" s="50">
        <f>IF(F20="Large",'C&amp;B'!$E$293,'C&amp;B'!$E$288)</f>
        <v>450</v>
      </c>
      <c r="Z20" s="50">
        <f>IF(G20="Large",'C&amp;B'!$E$293,'C&amp;B'!$E$288)</f>
        <v>450</v>
      </c>
      <c r="AA20" s="50">
        <f>IF(H20="Large",'C&amp;B'!$E$293,'C&amp;B'!$E$288)</f>
        <v>450</v>
      </c>
      <c r="AB20" s="50">
        <f>IF(I20="Large",'C&amp;B'!$E$293,'C&amp;B'!$E$288)</f>
        <v>450</v>
      </c>
      <c r="AC20" s="50">
        <f>IF(J20="Large",'C&amp;B'!$E$293,'C&amp;B'!$E$288)</f>
        <v>450</v>
      </c>
      <c r="AD20" s="50">
        <f>IF(K20="Large",'C&amp;B'!$E$293,'C&amp;B'!$E$288)</f>
        <v>450</v>
      </c>
      <c r="AE20" s="50">
        <f>IF(L20="Large",'C&amp;B'!$E$293,'C&amp;B'!$E$288)</f>
        <v>450</v>
      </c>
      <c r="AF20" s="50">
        <f>IF(M20="Large",'C&amp;B'!$E$293,'C&amp;B'!$E$288)</f>
        <v>450</v>
      </c>
      <c r="AG20" s="50">
        <f>IF(N20="Large",'C&amp;B'!$E$293,'C&amp;B'!$E$288)</f>
        <v>450</v>
      </c>
      <c r="AH20" s="50">
        <f>IF(O20="Large",'C&amp;B'!$E$293,'C&amp;B'!$E$288)</f>
        <v>450</v>
      </c>
      <c r="AI20" s="50">
        <f>IF(P20="Large",'C&amp;B'!$E$293,'C&amp;B'!$E$288)</f>
        <v>450</v>
      </c>
      <c r="AJ20" s="50">
        <f>IF(Q20="Large",'C&amp;B'!$E$293,'C&amp;B'!$E$288)</f>
        <v>450</v>
      </c>
      <c r="AK20" s="50">
        <f>IF(R20="Large",'C&amp;B'!$E$293,'C&amp;B'!$E$288)</f>
        <v>450</v>
      </c>
      <c r="AL20" s="50">
        <f>IF(S20="Large",'C&amp;B'!$E$293,'C&amp;B'!$E$288)</f>
        <v>450</v>
      </c>
      <c r="AM20" s="50">
        <f>IF(T20="Large",'C&amp;B'!$E$293,'C&amp;B'!$E$288)</f>
        <v>450</v>
      </c>
      <c r="AO20" s="162">
        <v>1</v>
      </c>
      <c r="AP20" s="14">
        <f t="shared" si="6"/>
        <v>450</v>
      </c>
      <c r="AQ20" s="14">
        <f t="shared" si="6"/>
        <v>450</v>
      </c>
      <c r="AR20" s="14">
        <f t="shared" si="6"/>
        <v>450</v>
      </c>
      <c r="AS20" s="14">
        <f t="shared" si="6"/>
        <v>450</v>
      </c>
      <c r="AT20" s="14">
        <f t="shared" si="6"/>
        <v>450</v>
      </c>
      <c r="AU20" s="14">
        <f t="shared" si="6"/>
        <v>450</v>
      </c>
      <c r="AV20" s="14">
        <f t="shared" si="6"/>
        <v>450</v>
      </c>
      <c r="AW20" s="14">
        <f t="shared" si="6"/>
        <v>450</v>
      </c>
      <c r="AX20" s="14">
        <f t="shared" si="6"/>
        <v>450</v>
      </c>
      <c r="AY20" s="14">
        <f t="shared" si="6"/>
        <v>450</v>
      </c>
      <c r="AZ20" s="14">
        <f t="shared" si="6"/>
        <v>450</v>
      </c>
      <c r="BA20" s="14">
        <f t="shared" si="6"/>
        <v>450</v>
      </c>
      <c r="BB20" s="14">
        <f t="shared" si="6"/>
        <v>450</v>
      </c>
      <c r="BC20" s="14">
        <f t="shared" si="6"/>
        <v>450</v>
      </c>
      <c r="BD20" s="14">
        <f t="shared" si="6"/>
        <v>450</v>
      </c>
      <c r="BE20" s="14">
        <f t="shared" si="6"/>
        <v>450</v>
      </c>
      <c r="BF20" s="14">
        <f t="shared" ref="BF20:BF26" si="10">$AO20*AM20</f>
        <v>450</v>
      </c>
    </row>
    <row r="21" spans="2:58">
      <c r="B21" s="59" t="s">
        <v>352</v>
      </c>
      <c r="C21" s="129" t="s">
        <v>367</v>
      </c>
      <c r="D21" s="52" t="s">
        <v>366</v>
      </c>
      <c r="E21" s="53" t="s">
        <v>366</v>
      </c>
      <c r="F21" s="53" t="s">
        <v>366</v>
      </c>
      <c r="G21" s="53" t="s">
        <v>366</v>
      </c>
      <c r="H21" s="53" t="s">
        <v>366</v>
      </c>
      <c r="I21" s="53" t="s">
        <v>366</v>
      </c>
      <c r="J21" s="53" t="s">
        <v>366</v>
      </c>
      <c r="K21" s="53" t="s">
        <v>366</v>
      </c>
      <c r="L21" s="53" t="s">
        <v>366</v>
      </c>
      <c r="M21" s="53" t="s">
        <v>366</v>
      </c>
      <c r="N21" s="53" t="s">
        <v>366</v>
      </c>
      <c r="O21" s="53" t="s">
        <v>366</v>
      </c>
      <c r="P21" s="53" t="s">
        <v>366</v>
      </c>
      <c r="Q21" s="53" t="s">
        <v>366</v>
      </c>
      <c r="R21" s="53" t="s">
        <v>366</v>
      </c>
      <c r="S21" s="52" t="s">
        <v>366</v>
      </c>
      <c r="T21" s="53" t="s">
        <v>366</v>
      </c>
      <c r="U21" s="50"/>
      <c r="V21" s="138" t="s">
        <v>696</v>
      </c>
      <c r="W21" s="50">
        <v>0</v>
      </c>
      <c r="X21" s="50">
        <v>0</v>
      </c>
      <c r="Y21" s="50">
        <v>0</v>
      </c>
      <c r="Z21" s="50">
        <v>0</v>
      </c>
      <c r="AA21" s="50">
        <v>0</v>
      </c>
      <c r="AB21" s="50">
        <v>0</v>
      </c>
      <c r="AC21" s="50">
        <v>0</v>
      </c>
      <c r="AD21" s="50">
        <v>0</v>
      </c>
      <c r="AE21" s="50">
        <v>0</v>
      </c>
      <c r="AF21" s="50">
        <v>0</v>
      </c>
      <c r="AG21" s="50">
        <v>0</v>
      </c>
      <c r="AH21" s="50">
        <v>0</v>
      </c>
      <c r="AI21" s="50">
        <v>0</v>
      </c>
      <c r="AJ21" s="50">
        <v>0</v>
      </c>
      <c r="AK21" s="50">
        <v>0</v>
      </c>
      <c r="AL21" s="50">
        <v>0</v>
      </c>
      <c r="AM21" s="50">
        <v>0</v>
      </c>
      <c r="AO21" s="162">
        <v>1</v>
      </c>
      <c r="AP21" s="14">
        <f t="shared" si="6"/>
        <v>0</v>
      </c>
      <c r="AQ21" s="14">
        <f t="shared" si="6"/>
        <v>0</v>
      </c>
      <c r="AR21" s="14">
        <f t="shared" si="6"/>
        <v>0</v>
      </c>
      <c r="AS21" s="14">
        <f t="shared" si="6"/>
        <v>0</v>
      </c>
      <c r="AT21" s="14">
        <f t="shared" si="6"/>
        <v>0</v>
      </c>
      <c r="AU21" s="14">
        <f t="shared" si="6"/>
        <v>0</v>
      </c>
      <c r="AV21" s="14">
        <f t="shared" si="6"/>
        <v>0</v>
      </c>
      <c r="AW21" s="14">
        <f t="shared" si="6"/>
        <v>0</v>
      </c>
      <c r="AX21" s="14">
        <f t="shared" si="6"/>
        <v>0</v>
      </c>
      <c r="AY21" s="14">
        <f t="shared" si="6"/>
        <v>0</v>
      </c>
      <c r="AZ21" s="14">
        <f t="shared" si="6"/>
        <v>0</v>
      </c>
      <c r="BA21" s="14">
        <f t="shared" si="6"/>
        <v>0</v>
      </c>
      <c r="BB21" s="14">
        <f t="shared" si="6"/>
        <v>0</v>
      </c>
      <c r="BC21" s="14">
        <f t="shared" si="6"/>
        <v>0</v>
      </c>
      <c r="BD21" s="14">
        <f t="shared" si="6"/>
        <v>0</v>
      </c>
      <c r="BE21" s="14">
        <f t="shared" si="6"/>
        <v>0</v>
      </c>
      <c r="BF21" s="14">
        <f t="shared" si="10"/>
        <v>0</v>
      </c>
    </row>
    <row r="22" spans="2:58">
      <c r="B22" s="59" t="s">
        <v>353</v>
      </c>
      <c r="C22" s="129" t="s">
        <v>354</v>
      </c>
      <c r="D22" s="52" t="s">
        <v>366</v>
      </c>
      <c r="E22" s="53" t="s">
        <v>366</v>
      </c>
      <c r="F22" s="53" t="s">
        <v>366</v>
      </c>
      <c r="G22" s="53" t="s">
        <v>366</v>
      </c>
      <c r="H22" s="53" t="s">
        <v>366</v>
      </c>
      <c r="I22" s="53" t="s">
        <v>366</v>
      </c>
      <c r="J22" s="53" t="s">
        <v>366</v>
      </c>
      <c r="K22" s="53" t="s">
        <v>366</v>
      </c>
      <c r="L22" s="53" t="s">
        <v>366</v>
      </c>
      <c r="M22" s="53" t="s">
        <v>366</v>
      </c>
      <c r="N22" s="53" t="s">
        <v>366</v>
      </c>
      <c r="O22" s="53" t="s">
        <v>366</v>
      </c>
      <c r="P22" s="53" t="s">
        <v>366</v>
      </c>
      <c r="Q22" s="53" t="s">
        <v>366</v>
      </c>
      <c r="R22" s="53" t="s">
        <v>366</v>
      </c>
      <c r="S22" s="52" t="s">
        <v>366</v>
      </c>
      <c r="T22" s="53" t="s">
        <v>366</v>
      </c>
      <c r="U22" s="50"/>
      <c r="V22" s="138" t="s">
        <v>696</v>
      </c>
      <c r="W22" s="50">
        <v>0</v>
      </c>
      <c r="X22" s="50">
        <v>0</v>
      </c>
      <c r="Y22" s="50">
        <v>0</v>
      </c>
      <c r="Z22" s="50">
        <v>0</v>
      </c>
      <c r="AA22" s="50">
        <v>0</v>
      </c>
      <c r="AB22" s="50">
        <v>0</v>
      </c>
      <c r="AC22" s="50">
        <v>0</v>
      </c>
      <c r="AD22" s="50">
        <v>0</v>
      </c>
      <c r="AE22" s="50">
        <v>0</v>
      </c>
      <c r="AF22" s="50">
        <v>0</v>
      </c>
      <c r="AG22" s="50">
        <v>0</v>
      </c>
      <c r="AH22" s="50">
        <v>0</v>
      </c>
      <c r="AI22" s="50">
        <v>0</v>
      </c>
      <c r="AJ22" s="50">
        <v>0</v>
      </c>
      <c r="AK22" s="50">
        <v>0</v>
      </c>
      <c r="AL22" s="50">
        <v>0</v>
      </c>
      <c r="AM22" s="50">
        <v>0</v>
      </c>
      <c r="AO22" s="162">
        <v>1</v>
      </c>
      <c r="AP22" s="14">
        <f t="shared" si="6"/>
        <v>0</v>
      </c>
      <c r="AQ22" s="14">
        <f t="shared" si="6"/>
        <v>0</v>
      </c>
      <c r="AR22" s="14">
        <f t="shared" si="6"/>
        <v>0</v>
      </c>
      <c r="AS22" s="14">
        <f t="shared" si="6"/>
        <v>0</v>
      </c>
      <c r="AT22" s="14">
        <f t="shared" si="6"/>
        <v>0</v>
      </c>
      <c r="AU22" s="14">
        <f t="shared" si="6"/>
        <v>0</v>
      </c>
      <c r="AV22" s="14">
        <f t="shared" si="6"/>
        <v>0</v>
      </c>
      <c r="AW22" s="14">
        <f t="shared" si="6"/>
        <v>0</v>
      </c>
      <c r="AX22" s="14">
        <f t="shared" si="6"/>
        <v>0</v>
      </c>
      <c r="AY22" s="14">
        <f t="shared" si="6"/>
        <v>0</v>
      </c>
      <c r="AZ22" s="14">
        <f t="shared" si="6"/>
        <v>0</v>
      </c>
      <c r="BA22" s="14">
        <f t="shared" si="6"/>
        <v>0</v>
      </c>
      <c r="BB22" s="14">
        <f t="shared" si="6"/>
        <v>0</v>
      </c>
      <c r="BC22" s="14">
        <f t="shared" si="6"/>
        <v>0</v>
      </c>
      <c r="BD22" s="14">
        <f t="shared" si="6"/>
        <v>0</v>
      </c>
      <c r="BE22" s="14">
        <f t="shared" si="6"/>
        <v>0</v>
      </c>
      <c r="BF22" s="14">
        <f t="shared" si="10"/>
        <v>0</v>
      </c>
    </row>
    <row r="23" spans="2:58">
      <c r="B23" s="59" t="s">
        <v>355</v>
      </c>
      <c r="C23" s="129" t="s">
        <v>356</v>
      </c>
      <c r="D23" s="52" t="s">
        <v>366</v>
      </c>
      <c r="E23" s="53" t="s">
        <v>366</v>
      </c>
      <c r="F23" s="53" t="s">
        <v>366</v>
      </c>
      <c r="G23" s="53" t="s">
        <v>366</v>
      </c>
      <c r="H23" s="53" t="s">
        <v>366</v>
      </c>
      <c r="I23" s="53" t="s">
        <v>366</v>
      </c>
      <c r="J23" s="53" t="s">
        <v>366</v>
      </c>
      <c r="K23" s="53" t="s">
        <v>366</v>
      </c>
      <c r="L23" s="53" t="s">
        <v>366</v>
      </c>
      <c r="M23" s="53" t="s">
        <v>366</v>
      </c>
      <c r="N23" s="53" t="s">
        <v>366</v>
      </c>
      <c r="O23" s="53" t="s">
        <v>366</v>
      </c>
      <c r="P23" s="53" t="s">
        <v>366</v>
      </c>
      <c r="Q23" s="53" t="s">
        <v>366</v>
      </c>
      <c r="R23" s="53" t="s">
        <v>366</v>
      </c>
      <c r="S23" s="52" t="s">
        <v>366</v>
      </c>
      <c r="T23" s="53" t="s">
        <v>366</v>
      </c>
      <c r="U23" s="50"/>
      <c r="V23" s="138" t="s">
        <v>696</v>
      </c>
      <c r="W23" s="50">
        <v>0</v>
      </c>
      <c r="X23" s="50">
        <v>0</v>
      </c>
      <c r="Y23" s="50">
        <v>0</v>
      </c>
      <c r="Z23" s="50">
        <v>0</v>
      </c>
      <c r="AA23" s="50">
        <v>0</v>
      </c>
      <c r="AB23" s="50">
        <v>0</v>
      </c>
      <c r="AC23" s="50">
        <v>0</v>
      </c>
      <c r="AD23" s="50">
        <v>0</v>
      </c>
      <c r="AE23" s="50">
        <v>0</v>
      </c>
      <c r="AF23" s="50">
        <v>0</v>
      </c>
      <c r="AG23" s="50">
        <v>0</v>
      </c>
      <c r="AH23" s="50">
        <v>0</v>
      </c>
      <c r="AI23" s="50">
        <v>0</v>
      </c>
      <c r="AJ23" s="50">
        <v>0</v>
      </c>
      <c r="AK23" s="50">
        <v>0</v>
      </c>
      <c r="AL23" s="50">
        <v>0</v>
      </c>
      <c r="AM23" s="50">
        <v>0</v>
      </c>
      <c r="AO23" s="162">
        <v>1</v>
      </c>
      <c r="AP23" s="14">
        <f t="shared" si="6"/>
        <v>0</v>
      </c>
      <c r="AQ23" s="14">
        <f t="shared" si="6"/>
        <v>0</v>
      </c>
      <c r="AR23" s="14">
        <f t="shared" si="6"/>
        <v>0</v>
      </c>
      <c r="AS23" s="14">
        <f t="shared" si="6"/>
        <v>0</v>
      </c>
      <c r="AT23" s="14">
        <f t="shared" si="6"/>
        <v>0</v>
      </c>
      <c r="AU23" s="14">
        <f t="shared" si="6"/>
        <v>0</v>
      </c>
      <c r="AV23" s="14">
        <f t="shared" si="6"/>
        <v>0</v>
      </c>
      <c r="AW23" s="14">
        <f t="shared" si="6"/>
        <v>0</v>
      </c>
      <c r="AX23" s="14">
        <f t="shared" si="6"/>
        <v>0</v>
      </c>
      <c r="AY23" s="14">
        <f t="shared" si="6"/>
        <v>0</v>
      </c>
      <c r="AZ23" s="14">
        <f t="shared" si="6"/>
        <v>0</v>
      </c>
      <c r="BA23" s="14">
        <f t="shared" si="6"/>
        <v>0</v>
      </c>
      <c r="BB23" s="14">
        <f t="shared" si="6"/>
        <v>0</v>
      </c>
      <c r="BC23" s="14">
        <f t="shared" si="6"/>
        <v>0</v>
      </c>
      <c r="BD23" s="14">
        <f t="shared" si="6"/>
        <v>0</v>
      </c>
      <c r="BE23" s="14">
        <f t="shared" si="6"/>
        <v>0</v>
      </c>
      <c r="BF23" s="14">
        <f t="shared" si="10"/>
        <v>0</v>
      </c>
    </row>
    <row r="24" spans="2:58">
      <c r="B24" s="59" t="s">
        <v>357</v>
      </c>
      <c r="C24" s="129" t="s">
        <v>358</v>
      </c>
      <c r="D24" s="52" t="s">
        <v>369</v>
      </c>
      <c r="E24" s="98" t="s">
        <v>366</v>
      </c>
      <c r="F24" s="98" t="s">
        <v>366</v>
      </c>
      <c r="G24" s="98" t="s">
        <v>366</v>
      </c>
      <c r="H24" s="98" t="s">
        <v>366</v>
      </c>
      <c r="I24" s="98" t="s">
        <v>366</v>
      </c>
      <c r="J24" s="98" t="s">
        <v>366</v>
      </c>
      <c r="K24" s="98" t="s">
        <v>366</v>
      </c>
      <c r="L24" s="98" t="s">
        <v>366</v>
      </c>
      <c r="M24" s="98" t="s">
        <v>366</v>
      </c>
      <c r="N24" s="98" t="s">
        <v>366</v>
      </c>
      <c r="O24" s="98" t="s">
        <v>366</v>
      </c>
      <c r="P24" s="98" t="s">
        <v>366</v>
      </c>
      <c r="Q24" s="98" t="s">
        <v>366</v>
      </c>
      <c r="R24" s="98" t="s">
        <v>366</v>
      </c>
      <c r="S24" s="52" t="s">
        <v>366</v>
      </c>
      <c r="T24" s="134" t="str">
        <f>INPUT!C35</f>
        <v>None</v>
      </c>
      <c r="U24" s="50"/>
      <c r="V24" s="11" t="s">
        <v>699</v>
      </c>
      <c r="W24" s="50">
        <f>IF(D24="Yes",'C&amp;B'!$E$313,0)</f>
        <v>400</v>
      </c>
      <c r="X24" s="50">
        <f>IF(E24="Yes",'C&amp;B'!$E$313,0)</f>
        <v>0</v>
      </c>
      <c r="Y24" s="50">
        <f>IF(F24="Yes",'C&amp;B'!$E$313,0)</f>
        <v>0</v>
      </c>
      <c r="Z24" s="50">
        <f>IF(G24="Yes",'C&amp;B'!$E$313,0)</f>
        <v>0</v>
      </c>
      <c r="AA24" s="50">
        <f>IF(H24="Yes",'C&amp;B'!$E$313,0)</f>
        <v>0</v>
      </c>
      <c r="AB24" s="50">
        <f>IF(I24="Yes",'C&amp;B'!$E$313,0)</f>
        <v>0</v>
      </c>
      <c r="AC24" s="50">
        <f>IF(J24="Yes",'C&amp;B'!$E$313,0)</f>
        <v>0</v>
      </c>
      <c r="AD24" s="50">
        <f>IF(K24="Yes",'C&amp;B'!$E$313,0)</f>
        <v>0</v>
      </c>
      <c r="AE24" s="50">
        <f>IF(L24="Yes",'C&amp;B'!$E$313,0)</f>
        <v>0</v>
      </c>
      <c r="AF24" s="50">
        <f>IF(M24="Yes",'C&amp;B'!$E$313,0)</f>
        <v>0</v>
      </c>
      <c r="AG24" s="50">
        <f>IF(N24="Yes",'C&amp;B'!$E$313,0)</f>
        <v>0</v>
      </c>
      <c r="AH24" s="50">
        <f>IF(O24="Yes",'C&amp;B'!$E$313,0)</f>
        <v>0</v>
      </c>
      <c r="AI24" s="50">
        <f>IF(P24="Yes",'C&amp;B'!$E$313,0)</f>
        <v>0</v>
      </c>
      <c r="AJ24" s="50">
        <f>IF(Q24="Yes",'C&amp;B'!$E$313,0)</f>
        <v>0</v>
      </c>
      <c r="AK24" s="50">
        <f>IF(R24="Yes",'C&amp;B'!$E$313,0)</f>
        <v>0</v>
      </c>
      <c r="AL24" s="50">
        <f>IF(S24="Yes",'C&amp;B'!$E$313,0)</f>
        <v>0</v>
      </c>
      <c r="AM24" s="50">
        <f>IF(T24="Yes",'C&amp;B'!$E$313,0)</f>
        <v>0</v>
      </c>
      <c r="AO24" s="162">
        <v>1</v>
      </c>
      <c r="AP24" s="14">
        <f t="shared" si="6"/>
        <v>400</v>
      </c>
      <c r="AQ24" s="14">
        <f t="shared" si="6"/>
        <v>0</v>
      </c>
      <c r="AR24" s="14">
        <f t="shared" si="6"/>
        <v>0</v>
      </c>
      <c r="AS24" s="14">
        <f t="shared" si="6"/>
        <v>0</v>
      </c>
      <c r="AT24" s="14">
        <f t="shared" si="6"/>
        <v>0</v>
      </c>
      <c r="AU24" s="14">
        <f t="shared" si="6"/>
        <v>0</v>
      </c>
      <c r="AV24" s="14">
        <f t="shared" si="6"/>
        <v>0</v>
      </c>
      <c r="AW24" s="14">
        <f t="shared" si="6"/>
        <v>0</v>
      </c>
      <c r="AX24" s="14">
        <f t="shared" si="6"/>
        <v>0</v>
      </c>
      <c r="AY24" s="14">
        <f t="shared" si="6"/>
        <v>0</v>
      </c>
      <c r="AZ24" s="14">
        <f t="shared" si="6"/>
        <v>0</v>
      </c>
      <c r="BA24" s="14">
        <f t="shared" si="6"/>
        <v>0</v>
      </c>
      <c r="BB24" s="14">
        <f t="shared" si="6"/>
        <v>0</v>
      </c>
      <c r="BC24" s="14">
        <f t="shared" si="6"/>
        <v>0</v>
      </c>
      <c r="BD24" s="14">
        <f t="shared" si="6"/>
        <v>0</v>
      </c>
      <c r="BE24" s="14">
        <f t="shared" si="6"/>
        <v>0</v>
      </c>
      <c r="BF24" s="14">
        <f t="shared" si="10"/>
        <v>0</v>
      </c>
    </row>
    <row r="25" spans="2:58">
      <c r="B25" s="59" t="s">
        <v>370</v>
      </c>
      <c r="C25" s="129" t="s">
        <v>19</v>
      </c>
      <c r="D25" s="52">
        <v>80</v>
      </c>
      <c r="E25" s="54">
        <f>D25</f>
        <v>80</v>
      </c>
      <c r="F25" s="54">
        <f t="shared" ref="F25:T25" si="11">E25</f>
        <v>80</v>
      </c>
      <c r="G25" s="54">
        <f t="shared" si="11"/>
        <v>80</v>
      </c>
      <c r="H25" s="54">
        <f t="shared" si="11"/>
        <v>80</v>
      </c>
      <c r="I25" s="54">
        <f t="shared" si="11"/>
        <v>80</v>
      </c>
      <c r="J25" s="54">
        <f t="shared" si="11"/>
        <v>80</v>
      </c>
      <c r="K25" s="54">
        <f t="shared" si="11"/>
        <v>80</v>
      </c>
      <c r="L25" s="54">
        <f t="shared" si="11"/>
        <v>80</v>
      </c>
      <c r="M25" s="54">
        <f t="shared" si="11"/>
        <v>80</v>
      </c>
      <c r="N25" s="54">
        <f t="shared" si="11"/>
        <v>80</v>
      </c>
      <c r="O25" s="54">
        <f t="shared" si="11"/>
        <v>80</v>
      </c>
      <c r="P25" s="54">
        <f t="shared" si="11"/>
        <v>80</v>
      </c>
      <c r="Q25" s="54">
        <f t="shared" si="11"/>
        <v>80</v>
      </c>
      <c r="R25" s="54">
        <f t="shared" si="11"/>
        <v>80</v>
      </c>
      <c r="S25" s="54">
        <f t="shared" si="11"/>
        <v>80</v>
      </c>
      <c r="T25" s="54">
        <f t="shared" si="11"/>
        <v>80</v>
      </c>
      <c r="U25" s="50"/>
      <c r="V25" s="138" t="s">
        <v>696</v>
      </c>
      <c r="W25" s="50">
        <v>0</v>
      </c>
      <c r="X25" s="50">
        <v>0</v>
      </c>
      <c r="Y25" s="50">
        <v>0</v>
      </c>
      <c r="Z25" s="50">
        <v>0</v>
      </c>
      <c r="AA25" s="50">
        <v>0</v>
      </c>
      <c r="AB25" s="50">
        <v>0</v>
      </c>
      <c r="AC25" s="50">
        <v>0</v>
      </c>
      <c r="AD25" s="50">
        <v>0</v>
      </c>
      <c r="AE25" s="50">
        <v>0</v>
      </c>
      <c r="AF25" s="50">
        <v>0</v>
      </c>
      <c r="AG25" s="50">
        <v>0</v>
      </c>
      <c r="AH25" s="50">
        <v>0</v>
      </c>
      <c r="AI25" s="50">
        <v>0</v>
      </c>
      <c r="AJ25" s="50">
        <v>0</v>
      </c>
      <c r="AK25" s="50">
        <v>0</v>
      </c>
      <c r="AL25" s="50">
        <v>0</v>
      </c>
      <c r="AM25" s="50">
        <v>0</v>
      </c>
      <c r="AO25" s="162">
        <v>1</v>
      </c>
      <c r="AP25" s="14">
        <f t="shared" si="6"/>
        <v>0</v>
      </c>
      <c r="AQ25" s="14">
        <f t="shared" si="6"/>
        <v>0</v>
      </c>
      <c r="AR25" s="14">
        <f t="shared" si="6"/>
        <v>0</v>
      </c>
      <c r="AS25" s="14">
        <f t="shared" si="6"/>
        <v>0</v>
      </c>
      <c r="AT25" s="14">
        <f t="shared" si="6"/>
        <v>0</v>
      </c>
      <c r="AU25" s="14">
        <f t="shared" si="6"/>
        <v>0</v>
      </c>
      <c r="AV25" s="14">
        <f t="shared" si="6"/>
        <v>0</v>
      </c>
      <c r="AW25" s="14">
        <f t="shared" si="6"/>
        <v>0</v>
      </c>
      <c r="AX25" s="14">
        <f t="shared" si="6"/>
        <v>0</v>
      </c>
      <c r="AY25" s="14">
        <f t="shared" si="6"/>
        <v>0</v>
      </c>
      <c r="AZ25" s="14">
        <f t="shared" si="6"/>
        <v>0</v>
      </c>
      <c r="BA25" s="14">
        <f t="shared" si="6"/>
        <v>0</v>
      </c>
      <c r="BB25" s="14">
        <f t="shared" si="6"/>
        <v>0</v>
      </c>
      <c r="BC25" s="14">
        <f t="shared" si="6"/>
        <v>0</v>
      </c>
      <c r="BD25" s="14">
        <f t="shared" si="6"/>
        <v>0</v>
      </c>
      <c r="BE25" s="14">
        <f t="shared" si="6"/>
        <v>0</v>
      </c>
      <c r="BF25" s="14">
        <f t="shared" si="10"/>
        <v>0</v>
      </c>
    </row>
    <row r="26" spans="2:58">
      <c r="B26" s="59" t="s">
        <v>371</v>
      </c>
      <c r="C26" s="129" t="s">
        <v>79</v>
      </c>
      <c r="D26" s="62">
        <f>SAP!D147</f>
        <v>2.6215384615384618</v>
      </c>
      <c r="E26" s="54">
        <v>0</v>
      </c>
      <c r="F26" s="54">
        <v>0</v>
      </c>
      <c r="G26" s="54">
        <v>0</v>
      </c>
      <c r="H26" s="54">
        <v>0</v>
      </c>
      <c r="I26" s="54">
        <v>0</v>
      </c>
      <c r="J26" s="54">
        <v>0</v>
      </c>
      <c r="K26" s="54">
        <v>0</v>
      </c>
      <c r="L26" s="54">
        <v>0</v>
      </c>
      <c r="M26" s="54">
        <v>0</v>
      </c>
      <c r="N26" s="54">
        <v>0</v>
      </c>
      <c r="O26" s="54">
        <v>0</v>
      </c>
      <c r="P26" s="54">
        <v>0</v>
      </c>
      <c r="Q26" s="54">
        <v>0</v>
      </c>
      <c r="R26" s="54">
        <v>0</v>
      </c>
      <c r="S26" s="52">
        <v>0</v>
      </c>
      <c r="T26" s="134">
        <f>INPUT!C36</f>
        <v>0</v>
      </c>
      <c r="U26" s="50"/>
      <c r="V26" s="138" t="s">
        <v>699</v>
      </c>
      <c r="W26" s="143">
        <f>IF(D26=0,0,IF(D26&lt;4,'C&amp;B'!$E$316+(D26*'C&amp;B'!$E$317),D26*'C&amp;B'!$E$318))</f>
        <v>2672.9230769230771</v>
      </c>
      <c r="X26" s="143">
        <f>IF(E26=0,0,IF(E26&lt;4,'C&amp;B'!$E$316+(E26*'C&amp;B'!$E$317),E26*'C&amp;B'!$E$318))</f>
        <v>0</v>
      </c>
      <c r="Y26" s="143">
        <f>IF(F26=0,0,IF(F26&lt;4,'C&amp;B'!$E$316+(F26*'C&amp;B'!$E$317),F26*'C&amp;B'!$E$318))</f>
        <v>0</v>
      </c>
      <c r="Z26" s="143">
        <f>IF(G26=0,0,IF(G26&lt;4,'C&amp;B'!$E$316+(G26*'C&amp;B'!$E$317),G26*'C&amp;B'!$E$318))</f>
        <v>0</v>
      </c>
      <c r="AA26" s="143">
        <f>IF(H26=0,0,IF(H26&lt;4,'C&amp;B'!$E$316+(H26*'C&amp;B'!$E$317),H26*'C&amp;B'!$E$318))</f>
        <v>0</v>
      </c>
      <c r="AB26" s="143">
        <f>IF(I26=0,0,IF(I26&lt;4,'C&amp;B'!$E$316+(I26*'C&amp;B'!$E$317),I26*'C&amp;B'!$E$318))</f>
        <v>0</v>
      </c>
      <c r="AC26" s="143">
        <f>IF(J26=0,0,IF(J26&lt;4,'C&amp;B'!$E$316+(J26*'C&amp;B'!$E$317),J26*'C&amp;B'!$E$318))</f>
        <v>0</v>
      </c>
      <c r="AD26" s="143">
        <f>IF(K26=0,0,IF(K26&lt;4,'C&amp;B'!$E$316+(K26*'C&amp;B'!$E$317),K26*'C&amp;B'!$E$318))</f>
        <v>0</v>
      </c>
      <c r="AE26" s="143">
        <f>IF(L26=0,0,IF(L26&lt;4,'C&amp;B'!$E$316+(L26*'C&amp;B'!$E$317),L26*'C&amp;B'!$E$318))</f>
        <v>0</v>
      </c>
      <c r="AF26" s="143">
        <f>IF(M26=0,0,IF(M26&lt;4,'C&amp;B'!$E$316+(M26*'C&amp;B'!$E$317),M26*'C&amp;B'!$E$318))</f>
        <v>0</v>
      </c>
      <c r="AG26" s="143">
        <f>IF(N26=0,0,IF(N26&lt;4,'C&amp;B'!$E$316+(N26*'C&amp;B'!$E$317),N26*'C&amp;B'!$E$318))</f>
        <v>0</v>
      </c>
      <c r="AH26" s="143">
        <f>IF(O26=0,0,IF(O26&lt;4,'C&amp;B'!$E$316+(O26*'C&amp;B'!$E$317),O26*'C&amp;B'!$E$318))</f>
        <v>0</v>
      </c>
      <c r="AI26" s="143">
        <f>IF(P26=0,0,IF(P26&lt;4,'C&amp;B'!$E$316+(P26*'C&amp;B'!$E$317),P26*'C&amp;B'!$E$318))</f>
        <v>0</v>
      </c>
      <c r="AJ26" s="143">
        <f>IF(Q26=0,0,IF(Q26&lt;4,'C&amp;B'!$E$316+(Q26*'C&amp;B'!$E$317),Q26*'C&amp;B'!$E$318))</f>
        <v>0</v>
      </c>
      <c r="AK26" s="143">
        <f>IF(R26=0,0,IF(R26&lt;4,'C&amp;B'!$E$316+(R26*'C&amp;B'!$E$317),R26*'C&amp;B'!$E$318))</f>
        <v>0</v>
      </c>
      <c r="AL26" s="143">
        <f>IF(S26=0,0,IF(S26&lt;4,'C&amp;B'!$E$316+(S26*'C&amp;B'!$E$317),S26*'C&amp;B'!$E$318))</f>
        <v>0</v>
      </c>
      <c r="AM26" s="143">
        <f>IF(T26=0,0,IF(T26&lt;4,'C&amp;B'!$E$316+(T26*'C&amp;B'!$E$317),T26*'C&amp;B'!$E$318))</f>
        <v>0</v>
      </c>
      <c r="AO26" s="162">
        <v>1</v>
      </c>
      <c r="AP26" s="14">
        <f t="shared" si="6"/>
        <v>2672.9230769230771</v>
      </c>
      <c r="AQ26" s="14">
        <f t="shared" si="6"/>
        <v>0</v>
      </c>
      <c r="AR26" s="14">
        <f t="shared" si="6"/>
        <v>0</v>
      </c>
      <c r="AS26" s="14">
        <f t="shared" si="6"/>
        <v>0</v>
      </c>
      <c r="AT26" s="14">
        <f t="shared" si="6"/>
        <v>0</v>
      </c>
      <c r="AU26" s="14">
        <f t="shared" si="6"/>
        <v>0</v>
      </c>
      <c r="AV26" s="14">
        <f t="shared" si="6"/>
        <v>0</v>
      </c>
      <c r="AW26" s="14">
        <f t="shared" si="6"/>
        <v>0</v>
      </c>
      <c r="AX26" s="14">
        <f t="shared" si="6"/>
        <v>0</v>
      </c>
      <c r="AY26" s="14">
        <f t="shared" si="6"/>
        <v>0</v>
      </c>
      <c r="AZ26" s="14">
        <f t="shared" si="6"/>
        <v>0</v>
      </c>
      <c r="BA26" s="14">
        <f t="shared" si="6"/>
        <v>0</v>
      </c>
      <c r="BB26" s="14">
        <f t="shared" si="6"/>
        <v>0</v>
      </c>
      <c r="BC26" s="14">
        <f t="shared" si="6"/>
        <v>0</v>
      </c>
      <c r="BD26" s="14">
        <f t="shared" si="6"/>
        <v>0</v>
      </c>
      <c r="BE26" s="14">
        <f t="shared" si="6"/>
        <v>0</v>
      </c>
      <c r="BF26" s="14">
        <f t="shared" si="10"/>
        <v>0</v>
      </c>
    </row>
    <row r="27" spans="2:58">
      <c r="B27" s="59" t="s">
        <v>373</v>
      </c>
      <c r="C27" s="129" t="s">
        <v>450</v>
      </c>
      <c r="D27" s="73">
        <f>D87</f>
        <v>27.388964571999963</v>
      </c>
      <c r="E27" s="169">
        <f>'C&amp;B'!C142</f>
        <v>27.93</v>
      </c>
      <c r="F27" s="169">
        <f>E27</f>
        <v>27.93</v>
      </c>
      <c r="G27" s="73">
        <f>F87</f>
        <v>22.0997792</v>
      </c>
      <c r="H27" s="73">
        <f>G27</f>
        <v>22.0997792</v>
      </c>
      <c r="I27" s="73">
        <f>G87</f>
        <v>22.0997792</v>
      </c>
      <c r="J27" s="73">
        <f>I27</f>
        <v>22.0997792</v>
      </c>
      <c r="K27" s="73">
        <f>H87</f>
        <v>22.0997792</v>
      </c>
      <c r="L27" s="73">
        <f>K27</f>
        <v>22.0997792</v>
      </c>
      <c r="M27" s="73">
        <f>I87</f>
        <v>22.0997792</v>
      </c>
      <c r="N27" s="73">
        <f>M27</f>
        <v>22.0997792</v>
      </c>
      <c r="O27" s="169">
        <f>'C&amp;B'!C144</f>
        <v>19.399999999999999</v>
      </c>
      <c r="P27" s="169">
        <f>O27</f>
        <v>19.399999999999999</v>
      </c>
      <c r="Q27" s="169">
        <f>'C&amp;B'!C145</f>
        <v>14.7</v>
      </c>
      <c r="R27" s="169">
        <f>Q27</f>
        <v>14.7</v>
      </c>
      <c r="S27" s="73">
        <f>L87</f>
        <v>19.986297500000006</v>
      </c>
      <c r="T27" s="73">
        <f>$C$92*(M86^2)+(M86*$C$93)+$C$94</f>
        <v>32.227193188000001</v>
      </c>
      <c r="U27" s="50"/>
      <c r="V27" s="138"/>
      <c r="W27" s="50"/>
      <c r="X27" s="50"/>
      <c r="AO27" t="s">
        <v>501</v>
      </c>
      <c r="AP27" s="14">
        <f>SUM(AP4:AP26)</f>
        <v>33157.923076923078</v>
      </c>
      <c r="AQ27" s="14">
        <f t="shared" ref="AQ27:BF27" si="12">SUM(AQ4:AQ26)</f>
        <v>29692</v>
      </c>
      <c r="AR27" s="14">
        <f t="shared" si="12"/>
        <v>24370</v>
      </c>
      <c r="AS27" s="14">
        <f t="shared" si="12"/>
        <v>29405</v>
      </c>
      <c r="AT27" s="14">
        <f t="shared" si="12"/>
        <v>24083</v>
      </c>
      <c r="AU27" s="14">
        <f t="shared" si="12"/>
        <v>30760</v>
      </c>
      <c r="AV27" s="14">
        <f t="shared" si="12"/>
        <v>25438</v>
      </c>
      <c r="AW27" s="14">
        <f t="shared" si="12"/>
        <v>30760</v>
      </c>
      <c r="AX27" s="14">
        <f t="shared" si="12"/>
        <v>25438</v>
      </c>
      <c r="AY27" s="14">
        <f t="shared" si="12"/>
        <v>30760</v>
      </c>
      <c r="AZ27" s="14">
        <f t="shared" si="12"/>
        <v>25438</v>
      </c>
      <c r="BA27" s="14">
        <f t="shared" si="12"/>
        <v>30760</v>
      </c>
      <c r="BB27" s="14">
        <f t="shared" si="12"/>
        <v>25438</v>
      </c>
      <c r="BC27" s="14">
        <f t="shared" si="12"/>
        <v>31035</v>
      </c>
      <c r="BD27" s="14">
        <f t="shared" si="12"/>
        <v>25713</v>
      </c>
      <c r="BE27" s="14">
        <f t="shared" si="12"/>
        <v>25530</v>
      </c>
      <c r="BF27" s="14">
        <f t="shared" si="12"/>
        <v>24370</v>
      </c>
    </row>
    <row r="28" spans="2:58">
      <c r="B28" s="59" t="s">
        <v>374</v>
      </c>
      <c r="C28" s="129" t="s">
        <v>450</v>
      </c>
      <c r="D28" s="73">
        <f>E28-SAP!C105</f>
        <v>24.079373468737721</v>
      </c>
      <c r="E28" s="169">
        <f>'C&amp;B'!D142</f>
        <v>32.31</v>
      </c>
      <c r="F28" s="169">
        <f>E28</f>
        <v>32.31</v>
      </c>
      <c r="G28" s="74">
        <f t="shared" ref="G28:N28" si="13">$O28</f>
        <v>35.18</v>
      </c>
      <c r="H28" s="74">
        <f t="shared" si="13"/>
        <v>35.18</v>
      </c>
      <c r="I28" s="74">
        <f t="shared" si="13"/>
        <v>35.18</v>
      </c>
      <c r="J28" s="74">
        <f t="shared" si="13"/>
        <v>35.18</v>
      </c>
      <c r="K28" s="74">
        <f t="shared" si="13"/>
        <v>35.18</v>
      </c>
      <c r="L28" s="74">
        <f t="shared" si="13"/>
        <v>35.18</v>
      </c>
      <c r="M28" s="74">
        <f t="shared" si="13"/>
        <v>35.18</v>
      </c>
      <c r="N28" s="74">
        <f t="shared" si="13"/>
        <v>35.18</v>
      </c>
      <c r="O28" s="169">
        <f>'C&amp;B'!D144</f>
        <v>35.18</v>
      </c>
      <c r="P28" s="169">
        <f>O28</f>
        <v>35.18</v>
      </c>
      <c r="Q28" s="169">
        <f>'C&amp;B'!D148</f>
        <v>35.18</v>
      </c>
      <c r="R28" s="169">
        <f>Q28</f>
        <v>35.18</v>
      </c>
      <c r="S28" s="74">
        <f>R28</f>
        <v>35.18</v>
      </c>
      <c r="T28" s="74">
        <f>S28</f>
        <v>35.18</v>
      </c>
      <c r="U28" s="50"/>
      <c r="V28" s="138"/>
      <c r="W28" s="50"/>
      <c r="X28" s="50"/>
      <c r="AO28" t="s">
        <v>704</v>
      </c>
      <c r="AP28" s="14">
        <f>AP27-$AP$27</f>
        <v>0</v>
      </c>
      <c r="AQ28" s="14">
        <f t="shared" ref="AQ28:BF28" si="14">AQ27-$AP$27</f>
        <v>-3465.923076923078</v>
      </c>
      <c r="AR28" s="14">
        <f t="shared" si="14"/>
        <v>-8787.923076923078</v>
      </c>
      <c r="AS28" s="14">
        <f t="shared" si="14"/>
        <v>-3752.923076923078</v>
      </c>
      <c r="AT28" s="14">
        <f t="shared" si="14"/>
        <v>-9074.923076923078</v>
      </c>
      <c r="AU28" s="14">
        <f t="shared" si="14"/>
        <v>-2397.923076923078</v>
      </c>
      <c r="AV28" s="14">
        <f t="shared" si="14"/>
        <v>-7719.923076923078</v>
      </c>
      <c r="AW28" s="14">
        <f t="shared" si="14"/>
        <v>-2397.923076923078</v>
      </c>
      <c r="AX28" s="14">
        <f t="shared" si="14"/>
        <v>-7719.923076923078</v>
      </c>
      <c r="AY28" s="14">
        <f t="shared" si="14"/>
        <v>-2397.923076923078</v>
      </c>
      <c r="AZ28" s="14">
        <f t="shared" si="14"/>
        <v>-7719.923076923078</v>
      </c>
      <c r="BA28" s="14">
        <f t="shared" si="14"/>
        <v>-2397.923076923078</v>
      </c>
      <c r="BB28" s="14">
        <f t="shared" si="14"/>
        <v>-7719.923076923078</v>
      </c>
      <c r="BC28" s="14">
        <f t="shared" si="14"/>
        <v>-2122.923076923078</v>
      </c>
      <c r="BD28" s="14">
        <f t="shared" si="14"/>
        <v>-7444.923076923078</v>
      </c>
      <c r="BE28" s="14">
        <f t="shared" si="14"/>
        <v>-7627.923076923078</v>
      </c>
      <c r="BF28" s="14">
        <f t="shared" si="14"/>
        <v>-8787.923076923078</v>
      </c>
    </row>
    <row r="29" spans="2:58">
      <c r="B29" s="59" t="s">
        <v>375</v>
      </c>
      <c r="C29" s="129" t="s">
        <v>450</v>
      </c>
      <c r="D29" s="73">
        <f>D27/D16</f>
        <v>30.602195052513924</v>
      </c>
      <c r="E29" s="73">
        <f t="shared" ref="E29:T30" si="15">E27/E16</f>
        <v>31.206703910614525</v>
      </c>
      <c r="F29" s="73">
        <f t="shared" si="15"/>
        <v>8.2147058823529449</v>
      </c>
      <c r="G29" s="73">
        <f t="shared" si="15"/>
        <v>24.692490726256985</v>
      </c>
      <c r="H29" s="73">
        <f t="shared" si="15"/>
        <v>6.4999350588235325</v>
      </c>
      <c r="I29" s="73">
        <f t="shared" si="15"/>
        <v>24.692490726256985</v>
      </c>
      <c r="J29" s="73">
        <f t="shared" si="15"/>
        <v>6.4999350588235325</v>
      </c>
      <c r="K29" s="73">
        <f t="shared" si="15"/>
        <v>24.692490726256985</v>
      </c>
      <c r="L29" s="73">
        <f t="shared" si="15"/>
        <v>6.4999350588235325</v>
      </c>
      <c r="M29" s="73">
        <f t="shared" si="15"/>
        <v>24.692490726256985</v>
      </c>
      <c r="N29" s="73">
        <f t="shared" si="15"/>
        <v>6.4999350588235325</v>
      </c>
      <c r="O29" s="73">
        <f t="shared" si="15"/>
        <v>21.675977653631282</v>
      </c>
      <c r="P29" s="73">
        <f t="shared" si="15"/>
        <v>5.7058823529411784</v>
      </c>
      <c r="Q29" s="73">
        <f t="shared" si="15"/>
        <v>16.424581005586592</v>
      </c>
      <c r="R29" s="73">
        <f t="shared" si="15"/>
        <v>4.3235294117647074</v>
      </c>
      <c r="S29" s="73">
        <f t="shared" si="15"/>
        <v>5.8783227941176515</v>
      </c>
      <c r="T29" s="73">
        <f t="shared" si="15"/>
        <v>9.4785862317647105</v>
      </c>
      <c r="U29" s="50"/>
      <c r="V29" s="138"/>
      <c r="W29" s="50"/>
      <c r="X29" s="50"/>
      <c r="AO29" t="s">
        <v>705</v>
      </c>
      <c r="AP29" s="14">
        <f>AP27-$BE$27</f>
        <v>7627.923076923078</v>
      </c>
      <c r="AQ29" s="14">
        <f t="shared" ref="AQ29:BF29" si="16">AQ27-$BE$27</f>
        <v>4162</v>
      </c>
      <c r="AR29" s="14">
        <f t="shared" si="16"/>
        <v>-1160</v>
      </c>
      <c r="AS29" s="14">
        <f t="shared" si="16"/>
        <v>3875</v>
      </c>
      <c r="AT29" s="14">
        <f t="shared" si="16"/>
        <v>-1447</v>
      </c>
      <c r="AU29" s="14">
        <f t="shared" si="16"/>
        <v>5230</v>
      </c>
      <c r="AV29" s="14">
        <f t="shared" si="16"/>
        <v>-92</v>
      </c>
      <c r="AW29" s="14">
        <f t="shared" si="16"/>
        <v>5230</v>
      </c>
      <c r="AX29" s="14">
        <f t="shared" si="16"/>
        <v>-92</v>
      </c>
      <c r="AY29" s="14">
        <f t="shared" si="16"/>
        <v>5230</v>
      </c>
      <c r="AZ29" s="14">
        <f t="shared" si="16"/>
        <v>-92</v>
      </c>
      <c r="BA29" s="14">
        <f t="shared" si="16"/>
        <v>5230</v>
      </c>
      <c r="BB29" s="14">
        <f t="shared" si="16"/>
        <v>-92</v>
      </c>
      <c r="BC29" s="14">
        <f t="shared" si="16"/>
        <v>5505</v>
      </c>
      <c r="BD29" s="14">
        <f t="shared" si="16"/>
        <v>183</v>
      </c>
      <c r="BE29" s="14">
        <f t="shared" si="16"/>
        <v>0</v>
      </c>
      <c r="BF29" s="14">
        <f t="shared" si="16"/>
        <v>-1160</v>
      </c>
    </row>
    <row r="30" spans="2:58">
      <c r="B30" s="59" t="s">
        <v>376</v>
      </c>
      <c r="C30" s="129" t="s">
        <v>450</v>
      </c>
      <c r="D30" s="73">
        <f>D28/D17</f>
        <v>26.904327898030974</v>
      </c>
      <c r="E30" s="73">
        <f t="shared" si="15"/>
        <v>36.100558659217882</v>
      </c>
      <c r="F30" s="73">
        <f t="shared" si="15"/>
        <v>14.047826086956524</v>
      </c>
      <c r="G30" s="73">
        <f t="shared" si="15"/>
        <v>39.307262569832403</v>
      </c>
      <c r="H30" s="73">
        <f t="shared" si="15"/>
        <v>15.295652173913044</v>
      </c>
      <c r="I30" s="73">
        <f t="shared" si="15"/>
        <v>39.307262569832403</v>
      </c>
      <c r="J30" s="73">
        <f t="shared" si="15"/>
        <v>15.295652173913044</v>
      </c>
      <c r="K30" s="73">
        <f t="shared" si="15"/>
        <v>39.307262569832403</v>
      </c>
      <c r="L30" s="73">
        <f t="shared" si="15"/>
        <v>15.295652173913044</v>
      </c>
      <c r="M30" s="73">
        <f t="shared" si="15"/>
        <v>39.307262569832403</v>
      </c>
      <c r="N30" s="73">
        <f t="shared" si="15"/>
        <v>15.295652173913044</v>
      </c>
      <c r="O30" s="73">
        <f t="shared" si="15"/>
        <v>39.307262569832403</v>
      </c>
      <c r="P30" s="73">
        <f t="shared" si="15"/>
        <v>15.295652173913044</v>
      </c>
      <c r="Q30" s="73">
        <f t="shared" si="15"/>
        <v>39.307262569832403</v>
      </c>
      <c r="R30" s="73">
        <f t="shared" si="15"/>
        <v>15.295652173913044</v>
      </c>
      <c r="S30" s="73">
        <f t="shared" si="15"/>
        <v>15.295652173913044</v>
      </c>
      <c r="T30" s="73">
        <f t="shared" si="15"/>
        <v>15.295652173913044</v>
      </c>
      <c r="U30" s="50"/>
      <c r="V30" s="138"/>
      <c r="W30" s="50"/>
      <c r="X30" s="50"/>
    </row>
    <row r="31" spans="2:58">
      <c r="B31" s="59" t="s">
        <v>377</v>
      </c>
      <c r="C31" s="129" t="s">
        <v>450</v>
      </c>
      <c r="D31" s="73">
        <f>(IF(D5="Natural Ventilation",SAP!$C$24+(SAP!$C$30*'C&amp;B'!$D$19),SAP!$C$24+SAP!$C$31*'C&amp;B'!$D$19))/'C&amp;B'!$C$13</f>
        <v>4.6108556789069173</v>
      </c>
      <c r="E31" s="73">
        <f>(IF(E5="Natural Ventilation",SAP!$C$24+(SAP!$C$30*'C&amp;B'!$D$19),SAP!$C$24+SAP!$C$31*'C&amp;B'!$D$19))/'C&amp;B'!$C$13</f>
        <v>4.6108556789069173</v>
      </c>
      <c r="F31" s="73">
        <f>(IF(F5="Natural Ventilation",SAP!$C$24+(SAP!$C$30*'C&amp;B'!$D$19),SAP!$C$24+SAP!$C$31*'C&amp;B'!$D$19))/'C&amp;B'!$C$13</f>
        <v>4.6108556789069173</v>
      </c>
      <c r="G31" s="73">
        <f>(IF(G5="Natural Ventilation",SAP!$C$24+(SAP!$C$30*'C&amp;B'!$D$19),SAP!$C$24+SAP!$C$31*'C&amp;B'!$D$19))/'C&amp;B'!$C$13</f>
        <v>4.6108556789069173</v>
      </c>
      <c r="H31" s="73">
        <f>(IF(H5="Natural Ventilation",SAP!$C$24+(SAP!$C$30*'C&amp;B'!$D$19),SAP!$C$24+SAP!$C$31*'C&amp;B'!$D$19))/'C&amp;B'!$C$13</f>
        <v>4.6108556789069173</v>
      </c>
      <c r="I31" s="73">
        <f>(IF(I5="Natural Ventilation",SAP!$C$24+(SAP!$C$30*'C&amp;B'!$D$19),SAP!$C$24+SAP!$C$31*'C&amp;B'!$D$19))/'C&amp;B'!$C$13</f>
        <v>11.001947053800171</v>
      </c>
      <c r="J31" s="73">
        <f>(IF(J5="Natural Ventilation",SAP!$C$24+(SAP!$C$30*'C&amp;B'!$D$19),SAP!$C$24+SAP!$C$31*'C&amp;B'!$D$19))/'C&amp;B'!$C$13</f>
        <v>11.001947053800171</v>
      </c>
      <c r="K31" s="73">
        <f>(IF(K5="Natural Ventilation",SAP!$C$24+(SAP!$C$30*'C&amp;B'!$D$19),SAP!$C$24+SAP!$C$31*'C&amp;B'!$D$19))/'C&amp;B'!$C$13</f>
        <v>11.001947053800171</v>
      </c>
      <c r="L31" s="73">
        <f>(IF(L5="Natural Ventilation",SAP!$C$24+(SAP!$C$30*'C&amp;B'!$D$19),SAP!$C$24+SAP!$C$31*'C&amp;B'!$D$19))/'C&amp;B'!$C$13</f>
        <v>11.001947053800171</v>
      </c>
      <c r="M31" s="73">
        <f>(IF(M5="Natural Ventilation",SAP!$C$24+(SAP!$C$30*'C&amp;B'!$D$19),SAP!$C$24+SAP!$C$31*'C&amp;B'!$D$19))/'C&amp;B'!$C$13</f>
        <v>11.001947053800171</v>
      </c>
      <c r="N31" s="73">
        <f>(IF(N5="Natural Ventilation",SAP!$C$24+(SAP!$C$30*'C&amp;B'!$D$19),SAP!$C$24+SAP!$C$31*'C&amp;B'!$D$19))/'C&amp;B'!$C$13</f>
        <v>11.001947053800171</v>
      </c>
      <c r="O31" s="73">
        <f>(IF(O5="Natural Ventilation",SAP!$C$24+(SAP!$C$30*'C&amp;B'!$D$19),SAP!$C$24+SAP!$C$31*'C&amp;B'!$D$19))/'C&amp;B'!$C$13</f>
        <v>11.001947053800171</v>
      </c>
      <c r="P31" s="73">
        <f>(IF(P5="Natural Ventilation",SAP!$C$24+(SAP!$C$30*'C&amp;B'!$D$19),SAP!$C$24+SAP!$C$31*'C&amp;B'!$D$19))/'C&amp;B'!$C$13</f>
        <v>11.001947053800171</v>
      </c>
      <c r="Q31" s="73">
        <f>(IF(Q5="Natural Ventilation",SAP!$C$24+(SAP!$C$30*'C&amp;B'!$D$19),SAP!$C$24+SAP!$C$31*'C&amp;B'!$D$19))/'C&amp;B'!$C$13</f>
        <v>11.001947053800171</v>
      </c>
      <c r="R31" s="73">
        <f>(IF(R5="Natural Ventilation",SAP!$C$24+(SAP!$C$30*'C&amp;B'!$D$19),SAP!$C$24+SAP!$C$31*'C&amp;B'!$D$19))/'C&amp;B'!$C$13</f>
        <v>11.001947053800171</v>
      </c>
      <c r="S31" s="73">
        <f>(IF(S5="Natural Ventilation",SAP!$C$24+(SAP!$C$30*'C&amp;B'!$D$19),SAP!$C$24+SAP!$C$31*'C&amp;B'!$D$19))/'C&amp;B'!$C$13</f>
        <v>4.6108556789069173</v>
      </c>
      <c r="T31" s="73">
        <f>(IF(T5="Natural Ventilation",SAP!$C$24+(SAP!$C$30*'C&amp;B'!$D$19),SAP!$C$24+SAP!$C$31*'C&amp;B'!$D$19))/'C&amp;B'!$C$13</f>
        <v>4.6108556789069173</v>
      </c>
      <c r="U31" s="50"/>
      <c r="V31" s="138"/>
      <c r="W31" s="50"/>
      <c r="X31" s="50"/>
    </row>
    <row r="32" spans="2:58">
      <c r="B32" s="59" t="s">
        <v>378</v>
      </c>
      <c r="C32" s="129" t="s">
        <v>450</v>
      </c>
      <c r="D32" s="62">
        <f>SAP!E55</f>
        <v>2.4713487538009264</v>
      </c>
      <c r="E32" s="74">
        <f>D32</f>
        <v>2.4713487538009264</v>
      </c>
      <c r="F32" s="74">
        <f t="shared" ref="F32:T32" si="17">E32</f>
        <v>2.4713487538009264</v>
      </c>
      <c r="G32" s="74">
        <f t="shared" si="17"/>
        <v>2.4713487538009264</v>
      </c>
      <c r="H32" s="74">
        <f t="shared" si="17"/>
        <v>2.4713487538009264</v>
      </c>
      <c r="I32" s="74">
        <f t="shared" si="17"/>
        <v>2.4713487538009264</v>
      </c>
      <c r="J32" s="74">
        <f t="shared" si="17"/>
        <v>2.4713487538009264</v>
      </c>
      <c r="K32" s="74">
        <f t="shared" si="17"/>
        <v>2.4713487538009264</v>
      </c>
      <c r="L32" s="74">
        <f t="shared" si="17"/>
        <v>2.4713487538009264</v>
      </c>
      <c r="M32" s="74">
        <f t="shared" si="17"/>
        <v>2.4713487538009264</v>
      </c>
      <c r="N32" s="74">
        <f t="shared" si="17"/>
        <v>2.4713487538009264</v>
      </c>
      <c r="O32" s="74">
        <f t="shared" si="17"/>
        <v>2.4713487538009264</v>
      </c>
      <c r="P32" s="74">
        <f t="shared" si="17"/>
        <v>2.4713487538009264</v>
      </c>
      <c r="Q32" s="74">
        <f t="shared" si="17"/>
        <v>2.4713487538009264</v>
      </c>
      <c r="R32" s="74">
        <f t="shared" si="17"/>
        <v>2.4713487538009264</v>
      </c>
      <c r="S32" s="74">
        <f t="shared" si="17"/>
        <v>2.4713487538009264</v>
      </c>
      <c r="T32" s="74">
        <f t="shared" si="17"/>
        <v>2.4713487538009264</v>
      </c>
      <c r="U32" s="50"/>
      <c r="V32" s="138"/>
      <c r="W32" s="50"/>
      <c r="X32" s="50"/>
    </row>
    <row r="33" spans="2:24">
      <c r="B33" s="59" t="s">
        <v>379</v>
      </c>
      <c r="C33" s="129" t="s">
        <v>450</v>
      </c>
      <c r="D33" s="73">
        <f t="shared" ref="D33:T33" si="18">IF(D4="Gas",SUM(D29:D30),0)</f>
        <v>57.506522950544898</v>
      </c>
      <c r="E33" s="73">
        <f t="shared" si="18"/>
        <v>67.307262569832403</v>
      </c>
      <c r="F33" s="73">
        <f t="shared" si="18"/>
        <v>0</v>
      </c>
      <c r="G33" s="73">
        <f t="shared" si="18"/>
        <v>63.999753296089388</v>
      </c>
      <c r="H33" s="73">
        <f t="shared" si="18"/>
        <v>0</v>
      </c>
      <c r="I33" s="73">
        <f t="shared" si="18"/>
        <v>63.999753296089388</v>
      </c>
      <c r="J33" s="73">
        <f t="shared" si="18"/>
        <v>0</v>
      </c>
      <c r="K33" s="73">
        <f t="shared" si="18"/>
        <v>63.999753296089388</v>
      </c>
      <c r="L33" s="73">
        <f t="shared" si="18"/>
        <v>0</v>
      </c>
      <c r="M33" s="73">
        <f t="shared" si="18"/>
        <v>63.999753296089388</v>
      </c>
      <c r="N33" s="73">
        <f t="shared" si="18"/>
        <v>0</v>
      </c>
      <c r="O33" s="73">
        <f t="shared" si="18"/>
        <v>60.983240223463682</v>
      </c>
      <c r="P33" s="73">
        <f t="shared" si="18"/>
        <v>0</v>
      </c>
      <c r="Q33" s="73">
        <f t="shared" si="18"/>
        <v>55.731843575418992</v>
      </c>
      <c r="R33" s="73">
        <f t="shared" si="18"/>
        <v>0</v>
      </c>
      <c r="S33" s="73">
        <f t="shared" si="18"/>
        <v>0</v>
      </c>
      <c r="T33" s="73">
        <f t="shared" si="18"/>
        <v>0</v>
      </c>
      <c r="U33" s="50"/>
      <c r="V33" s="138"/>
      <c r="W33" s="50"/>
      <c r="X33" s="50"/>
    </row>
    <row r="34" spans="2:24">
      <c r="B34" s="59" t="s">
        <v>380</v>
      </c>
      <c r="C34" s="129" t="s">
        <v>450</v>
      </c>
      <c r="D34" s="73">
        <f t="shared" ref="D34:T34" si="19">IF(D4="Gas", SUM(D31:D32),SUM(D29:D32))</f>
        <v>7.0822044327078437</v>
      </c>
      <c r="E34" s="73">
        <f t="shared" si="19"/>
        <v>7.0822044327078437</v>
      </c>
      <c r="F34" s="73">
        <f t="shared" si="19"/>
        <v>29.344736402017311</v>
      </c>
      <c r="G34" s="73">
        <f t="shared" si="19"/>
        <v>7.0822044327078437</v>
      </c>
      <c r="H34" s="73">
        <f t="shared" si="19"/>
        <v>28.87779166544442</v>
      </c>
      <c r="I34" s="73">
        <f t="shared" si="19"/>
        <v>13.473295807601097</v>
      </c>
      <c r="J34" s="73">
        <f t="shared" si="19"/>
        <v>35.26888304033767</v>
      </c>
      <c r="K34" s="73">
        <f t="shared" si="19"/>
        <v>13.473295807601097</v>
      </c>
      <c r="L34" s="73">
        <f t="shared" si="19"/>
        <v>35.26888304033767</v>
      </c>
      <c r="M34" s="73">
        <f t="shared" si="19"/>
        <v>13.473295807601097</v>
      </c>
      <c r="N34" s="73">
        <f t="shared" si="19"/>
        <v>35.26888304033767</v>
      </c>
      <c r="O34" s="73">
        <f t="shared" si="19"/>
        <v>13.473295807601097</v>
      </c>
      <c r="P34" s="73">
        <f t="shared" si="19"/>
        <v>34.474830334455319</v>
      </c>
      <c r="Q34" s="73">
        <f t="shared" si="19"/>
        <v>13.473295807601097</v>
      </c>
      <c r="R34" s="73">
        <f t="shared" si="19"/>
        <v>33.092477393278848</v>
      </c>
      <c r="S34" s="73">
        <f t="shared" si="19"/>
        <v>28.256179400738539</v>
      </c>
      <c r="T34" s="73">
        <f t="shared" si="19"/>
        <v>31.856442838385597</v>
      </c>
      <c r="U34" s="50"/>
      <c r="V34" s="138"/>
      <c r="W34" s="50"/>
      <c r="X34" s="50"/>
    </row>
    <row r="35" spans="2:24">
      <c r="B35" s="59" t="s">
        <v>452</v>
      </c>
      <c r="C35" s="129" t="s">
        <v>450</v>
      </c>
      <c r="D35" s="73">
        <f>D26*SAP!$C$143/'C&amp;B'!$D$13</f>
        <v>28.159324482036258</v>
      </c>
      <c r="E35" s="73">
        <f>E26*SAP!$C$143/'C&amp;B'!$D$13</f>
        <v>0</v>
      </c>
      <c r="F35" s="73">
        <f>F26*SAP!$C$143/'C&amp;B'!$D$13</f>
        <v>0</v>
      </c>
      <c r="G35" s="73">
        <f>G26*SAP!$C$143/'C&amp;B'!$D$13</f>
        <v>0</v>
      </c>
      <c r="H35" s="73">
        <f>H26*SAP!$C$143/'C&amp;B'!$D$13</f>
        <v>0</v>
      </c>
      <c r="I35" s="73">
        <f>I26*SAP!$C$143/'C&amp;B'!$D$13</f>
        <v>0</v>
      </c>
      <c r="J35" s="73">
        <f>J26*SAP!$C$143/'C&amp;B'!$D$13</f>
        <v>0</v>
      </c>
      <c r="K35" s="73">
        <f>K26*SAP!$C$143/'C&amp;B'!$D$13</f>
        <v>0</v>
      </c>
      <c r="L35" s="73">
        <f>L26*SAP!$C$143/'C&amp;B'!$D$13</f>
        <v>0</v>
      </c>
      <c r="M35" s="73">
        <f>M26*SAP!$C$143/'C&amp;B'!$D$13</f>
        <v>0</v>
      </c>
      <c r="N35" s="73">
        <f>N26*SAP!$C$143/'C&amp;B'!$D$13</f>
        <v>0</v>
      </c>
      <c r="O35" s="73">
        <f>O26*SAP!$C$143/'C&amp;B'!$D$13</f>
        <v>0</v>
      </c>
      <c r="P35" s="73">
        <f>P26*SAP!$C$143/'C&amp;B'!$D$13</f>
        <v>0</v>
      </c>
      <c r="Q35" s="73">
        <f>Q26*SAP!$C$143/'C&amp;B'!$D$13</f>
        <v>0</v>
      </c>
      <c r="R35" s="73">
        <f>R26*SAP!$C$143/'C&amp;B'!$D$13</f>
        <v>0</v>
      </c>
      <c r="S35" s="73">
        <f>S26*SAP!$C$143/'C&amp;B'!$D$13</f>
        <v>0</v>
      </c>
      <c r="T35" s="73">
        <f>T26*SAP!$C$143/'C&amp;B'!$D$13</f>
        <v>0</v>
      </c>
      <c r="U35" s="50"/>
      <c r="V35" s="138"/>
      <c r="W35" s="50"/>
      <c r="X35" s="50"/>
    </row>
    <row r="36" spans="2:24">
      <c r="B36" s="59" t="s">
        <v>448</v>
      </c>
      <c r="C36" s="129" t="s">
        <v>451</v>
      </c>
      <c r="D36" s="73">
        <f>D33*SAP!$C$6</f>
        <v>12.076369819614428</v>
      </c>
      <c r="E36" s="73">
        <f>E33*SAP!$C$6</f>
        <v>14.134525139664804</v>
      </c>
      <c r="F36" s="73">
        <f>F33*SAP!$C$6</f>
        <v>0</v>
      </c>
      <c r="G36" s="73">
        <f>G33*SAP!$C$6</f>
        <v>13.439948192178772</v>
      </c>
      <c r="H36" s="73">
        <f>H33*SAP!$C$6</f>
        <v>0</v>
      </c>
      <c r="I36" s="73">
        <f>I33*SAP!$C$6</f>
        <v>13.439948192178772</v>
      </c>
      <c r="J36" s="73">
        <f>J33*SAP!$C$6</f>
        <v>0</v>
      </c>
      <c r="K36" s="73">
        <f>K33*SAP!$C$6</f>
        <v>13.439948192178772</v>
      </c>
      <c r="L36" s="73">
        <f>L33*SAP!$C$6</f>
        <v>0</v>
      </c>
      <c r="M36" s="73">
        <f>M33*SAP!$C$6</f>
        <v>13.439948192178772</v>
      </c>
      <c r="N36" s="73">
        <f>N33*SAP!$C$6</f>
        <v>0</v>
      </c>
      <c r="O36" s="73">
        <f>O33*SAP!$C$6</f>
        <v>12.806480446927372</v>
      </c>
      <c r="P36" s="73">
        <f>P33*SAP!$C$6</f>
        <v>0</v>
      </c>
      <c r="Q36" s="73">
        <f>Q33*SAP!$C$6</f>
        <v>11.703687150837988</v>
      </c>
      <c r="R36" s="73">
        <f>R33*SAP!$C$6</f>
        <v>0</v>
      </c>
      <c r="S36" s="73">
        <f>S33*SAP!$C$6</f>
        <v>0</v>
      </c>
      <c r="T36" s="73">
        <f>T33*SAP!$C$6</f>
        <v>0</v>
      </c>
    </row>
    <row r="37" spans="2:24">
      <c r="B37" s="59" t="s">
        <v>453</v>
      </c>
      <c r="C37" s="129" t="s">
        <v>451</v>
      </c>
      <c r="D37" s="73">
        <f>D34*SAP!$C$9</f>
        <v>0.96317980284826676</v>
      </c>
      <c r="E37" s="73">
        <f>E34*SAP!$C$9</f>
        <v>0.96317980284826676</v>
      </c>
      <c r="F37" s="73">
        <f>F34*SAP!$C$9</f>
        <v>3.9908841506743546</v>
      </c>
      <c r="G37" s="73">
        <f>G34*SAP!$C$9</f>
        <v>0.96317980284826676</v>
      </c>
      <c r="H37" s="73">
        <f>H34*SAP!$C$9</f>
        <v>3.9273796665004412</v>
      </c>
      <c r="I37" s="73">
        <f>I34*SAP!$C$9</f>
        <v>1.8323682298337494</v>
      </c>
      <c r="J37" s="73">
        <f>J34*SAP!$C$9</f>
        <v>4.7965680934859236</v>
      </c>
      <c r="K37" s="73">
        <f>K34*SAP!$C$9</f>
        <v>1.8323682298337494</v>
      </c>
      <c r="L37" s="73">
        <f>L34*SAP!$C$9</f>
        <v>4.7965680934859236</v>
      </c>
      <c r="M37" s="73">
        <f>M34*SAP!$C$9</f>
        <v>1.8323682298337494</v>
      </c>
      <c r="N37" s="73">
        <f>N34*SAP!$C$9</f>
        <v>4.7965680934859236</v>
      </c>
      <c r="O37" s="73">
        <f>O34*SAP!$C$9</f>
        <v>1.8323682298337494</v>
      </c>
      <c r="P37" s="73">
        <f>P34*SAP!$C$9</f>
        <v>4.6885769254859238</v>
      </c>
      <c r="Q37" s="73">
        <f>Q34*SAP!$C$9</f>
        <v>1.8323682298337494</v>
      </c>
      <c r="R37" s="73">
        <f>R34*SAP!$C$9</f>
        <v>4.500576925485924</v>
      </c>
      <c r="S37" s="73">
        <f>S34*SAP!$C$9</f>
        <v>3.8428403985004413</v>
      </c>
      <c r="T37" s="73">
        <f>T34*SAP!$C$9</f>
        <v>4.3324762260204412</v>
      </c>
    </row>
    <row r="38" spans="2:24">
      <c r="B38" s="59" t="s">
        <v>454</v>
      </c>
      <c r="C38" s="129" t="s">
        <v>451</v>
      </c>
      <c r="D38" s="73">
        <f>-D35*SAP!$C$10</f>
        <v>-3.8296681295569313</v>
      </c>
      <c r="E38" s="73">
        <f>-E35*SAP!$C$10</f>
        <v>0</v>
      </c>
      <c r="F38" s="73">
        <f>-F35*SAP!$C$10</f>
        <v>0</v>
      </c>
      <c r="G38" s="73">
        <f>-G35*SAP!$C$10</f>
        <v>0</v>
      </c>
      <c r="H38" s="73">
        <f>-H35*SAP!$C$10</f>
        <v>0</v>
      </c>
      <c r="I38" s="73">
        <f>-I35*SAP!$C$10</f>
        <v>0</v>
      </c>
      <c r="J38" s="73">
        <f>-J35*SAP!$C$10</f>
        <v>0</v>
      </c>
      <c r="K38" s="73">
        <f>-K35*SAP!$C$10</f>
        <v>0</v>
      </c>
      <c r="L38" s="73">
        <f>-L35*SAP!$C$10</f>
        <v>0</v>
      </c>
      <c r="M38" s="73">
        <f>-M35*SAP!$C$10</f>
        <v>0</v>
      </c>
      <c r="N38" s="73">
        <f>-N35*SAP!$C$10</f>
        <v>0</v>
      </c>
      <c r="O38" s="73">
        <f>-O35*SAP!$C$10</f>
        <v>0</v>
      </c>
      <c r="P38" s="73">
        <f>-P35*SAP!$C$10</f>
        <v>0</v>
      </c>
      <c r="Q38" s="73">
        <f>-Q35*SAP!$C$10</f>
        <v>0</v>
      </c>
      <c r="R38" s="73">
        <f>-R35*SAP!$C$10</f>
        <v>0</v>
      </c>
      <c r="S38" s="73">
        <f>-S35*SAP!$C$10</f>
        <v>0</v>
      </c>
      <c r="T38" s="73">
        <f>-T35*SAP!$C$10</f>
        <v>0</v>
      </c>
    </row>
    <row r="39" spans="2:24">
      <c r="B39" s="59" t="s">
        <v>449</v>
      </c>
      <c r="C39" s="129" t="s">
        <v>451</v>
      </c>
      <c r="D39" s="73">
        <f>D36+D37+D38</f>
        <v>9.2098814929057617</v>
      </c>
      <c r="E39" s="73">
        <f t="shared" ref="E39:T39" si="20">E36+E37+E38</f>
        <v>15.09770494251307</v>
      </c>
      <c r="F39" s="73">
        <f t="shared" si="20"/>
        <v>3.9908841506743546</v>
      </c>
      <c r="G39" s="73">
        <f t="shared" si="20"/>
        <v>14.403127995027038</v>
      </c>
      <c r="H39" s="73">
        <f t="shared" si="20"/>
        <v>3.9273796665004412</v>
      </c>
      <c r="I39" s="73">
        <f t="shared" si="20"/>
        <v>15.272316422012521</v>
      </c>
      <c r="J39" s="73">
        <f t="shared" si="20"/>
        <v>4.7965680934859236</v>
      </c>
      <c r="K39" s="73">
        <f t="shared" si="20"/>
        <v>15.272316422012521</v>
      </c>
      <c r="L39" s="73">
        <f t="shared" si="20"/>
        <v>4.7965680934859236</v>
      </c>
      <c r="M39" s="73">
        <f t="shared" si="20"/>
        <v>15.272316422012521</v>
      </c>
      <c r="N39" s="73">
        <f t="shared" si="20"/>
        <v>4.7965680934859236</v>
      </c>
      <c r="O39" s="73">
        <f t="shared" si="20"/>
        <v>14.638848676761121</v>
      </c>
      <c r="P39" s="73">
        <f t="shared" si="20"/>
        <v>4.6885769254859238</v>
      </c>
      <c r="Q39" s="73">
        <f t="shared" si="20"/>
        <v>13.536055380671737</v>
      </c>
      <c r="R39" s="73">
        <f t="shared" si="20"/>
        <v>4.500576925485924</v>
      </c>
      <c r="S39" s="73">
        <f t="shared" si="20"/>
        <v>3.8428403985004413</v>
      </c>
      <c r="T39" s="73">
        <f t="shared" si="20"/>
        <v>4.3324762260204412</v>
      </c>
    </row>
    <row r="40" spans="2:24">
      <c r="B40" s="59" t="s">
        <v>731</v>
      </c>
      <c r="C40" s="71" t="s">
        <v>609</v>
      </c>
      <c r="D40" s="148">
        <f>IF(ISNUMBER(AP97),AP97,"Not Possible")</f>
        <v>9074.923076923078</v>
      </c>
      <c r="E40" s="148">
        <f t="shared" ref="E40:T46" si="21">IF(ISNUMBER(AQ97),AQ97,"Not Possible")</f>
        <v>8470.8575901855693</v>
      </c>
      <c r="F40" s="148">
        <f t="shared" si="21"/>
        <v>287</v>
      </c>
      <c r="G40" s="148">
        <f t="shared" si="21"/>
        <v>7898.5806229811133</v>
      </c>
      <c r="H40" s="148">
        <f t="shared" si="21"/>
        <v>0</v>
      </c>
      <c r="I40" s="148">
        <f t="shared" si="21"/>
        <v>9610.5740983290962</v>
      </c>
      <c r="J40" s="148">
        <f t="shared" si="21"/>
        <v>1355</v>
      </c>
      <c r="K40" s="148">
        <f t="shared" si="21"/>
        <v>9610.5740983290962</v>
      </c>
      <c r="L40" s="148">
        <f t="shared" si="21"/>
        <v>1355</v>
      </c>
      <c r="M40" s="148">
        <f t="shared" si="21"/>
        <v>9610.5740983290962</v>
      </c>
      <c r="N40" s="148">
        <f t="shared" si="21"/>
        <v>1355</v>
      </c>
      <c r="O40" s="148">
        <f t="shared" si="21"/>
        <v>9350.3959311134313</v>
      </c>
      <c r="P40" s="148">
        <f t="shared" si="21"/>
        <v>1355</v>
      </c>
      <c r="Q40" s="148">
        <f t="shared" si="21"/>
        <v>9172.4561551815277</v>
      </c>
      <c r="R40" s="148">
        <f t="shared" si="21"/>
        <v>1630</v>
      </c>
      <c r="S40" s="148">
        <f t="shared" si="21"/>
        <v>1447</v>
      </c>
      <c r="T40" s="148">
        <f t="shared" si="21"/>
        <v>287</v>
      </c>
    </row>
    <row r="41" spans="2:24">
      <c r="B41" s="59" t="s">
        <v>731</v>
      </c>
      <c r="C41" s="71" t="s">
        <v>610</v>
      </c>
      <c r="D41" s="148">
        <f t="shared" ref="D41:M46" si="22">IF(ISNUMBER(AP98),AP98,"Not Possible")</f>
        <v>9074.923076923078</v>
      </c>
      <c r="E41" s="148" t="str">
        <f t="shared" si="21"/>
        <v>Not Possible</v>
      </c>
      <c r="F41" s="148">
        <f t="shared" si="21"/>
        <v>287</v>
      </c>
      <c r="G41" s="148" t="str">
        <f t="shared" si="21"/>
        <v>Not Possible</v>
      </c>
      <c r="H41" s="148">
        <f t="shared" si="21"/>
        <v>0</v>
      </c>
      <c r="I41" s="148" t="str">
        <f t="shared" si="21"/>
        <v>Not Possible</v>
      </c>
      <c r="J41" s="148">
        <f t="shared" si="21"/>
        <v>1355</v>
      </c>
      <c r="K41" s="148" t="str">
        <f t="shared" si="21"/>
        <v>Not Possible</v>
      </c>
      <c r="L41" s="148">
        <f t="shared" si="21"/>
        <v>1355</v>
      </c>
      <c r="M41" s="148" t="str">
        <f t="shared" si="21"/>
        <v>Not Possible</v>
      </c>
      <c r="N41" s="148">
        <f t="shared" si="21"/>
        <v>1355</v>
      </c>
      <c r="O41" s="148" t="str">
        <f t="shared" si="21"/>
        <v>Not Possible</v>
      </c>
      <c r="P41" s="148">
        <f t="shared" si="21"/>
        <v>1355</v>
      </c>
      <c r="Q41" s="148">
        <f t="shared" si="21"/>
        <v>9616.3640363761733</v>
      </c>
      <c r="R41" s="148">
        <f t="shared" si="21"/>
        <v>1630</v>
      </c>
      <c r="S41" s="148">
        <f t="shared" si="21"/>
        <v>1447</v>
      </c>
      <c r="T41" s="148">
        <f t="shared" si="21"/>
        <v>287</v>
      </c>
    </row>
    <row r="42" spans="2:24">
      <c r="B42" s="59" t="s">
        <v>731</v>
      </c>
      <c r="C42" s="71" t="s">
        <v>611</v>
      </c>
      <c r="D42" s="148">
        <f t="shared" si="22"/>
        <v>9306.3468414304662</v>
      </c>
      <c r="E42" s="148" t="str">
        <f t="shared" si="21"/>
        <v>Not Possible</v>
      </c>
      <c r="F42" s="148">
        <f t="shared" si="21"/>
        <v>287</v>
      </c>
      <c r="G42" s="148" t="str">
        <f t="shared" si="21"/>
        <v>Not Possible</v>
      </c>
      <c r="H42" s="148">
        <f t="shared" si="21"/>
        <v>0</v>
      </c>
      <c r="I42" s="148" t="str">
        <f t="shared" si="21"/>
        <v>Not Possible</v>
      </c>
      <c r="J42" s="148">
        <f t="shared" si="21"/>
        <v>1355</v>
      </c>
      <c r="K42" s="148" t="str">
        <f t="shared" si="21"/>
        <v>Not Possible</v>
      </c>
      <c r="L42" s="148">
        <f t="shared" si="21"/>
        <v>1355</v>
      </c>
      <c r="M42" s="148" t="str">
        <f t="shared" si="21"/>
        <v>Not Possible</v>
      </c>
      <c r="N42" s="148">
        <f t="shared" si="21"/>
        <v>1355</v>
      </c>
      <c r="O42" s="148" t="str">
        <f t="shared" si="21"/>
        <v>Not Possible</v>
      </c>
      <c r="P42" s="148">
        <f t="shared" si="21"/>
        <v>1355</v>
      </c>
      <c r="Q42" s="148" t="str">
        <f t="shared" si="21"/>
        <v>Not Possible</v>
      </c>
      <c r="R42" s="148">
        <f t="shared" si="21"/>
        <v>1630</v>
      </c>
      <c r="S42" s="148">
        <f t="shared" si="21"/>
        <v>1447</v>
      </c>
      <c r="T42" s="148">
        <f t="shared" si="21"/>
        <v>287</v>
      </c>
    </row>
    <row r="43" spans="2:24">
      <c r="B43" s="59" t="s">
        <v>731</v>
      </c>
      <c r="C43" s="71" t="s">
        <v>612</v>
      </c>
      <c r="D43" s="148" t="str">
        <f t="shared" si="22"/>
        <v>Not Possible</v>
      </c>
      <c r="E43" s="148" t="str">
        <f t="shared" si="21"/>
        <v>Not Possible</v>
      </c>
      <c r="F43" s="148">
        <f t="shared" si="21"/>
        <v>287</v>
      </c>
      <c r="G43" s="148" t="str">
        <f t="shared" si="21"/>
        <v>Not Possible</v>
      </c>
      <c r="H43" s="148">
        <f t="shared" si="21"/>
        <v>0</v>
      </c>
      <c r="I43" s="148" t="str">
        <f t="shared" si="21"/>
        <v>Not Possible</v>
      </c>
      <c r="J43" s="148">
        <f t="shared" si="21"/>
        <v>1355</v>
      </c>
      <c r="K43" s="148" t="str">
        <f t="shared" si="21"/>
        <v>Not Possible</v>
      </c>
      <c r="L43" s="148">
        <f t="shared" si="21"/>
        <v>1355</v>
      </c>
      <c r="M43" s="148" t="str">
        <f t="shared" si="21"/>
        <v>Not Possible</v>
      </c>
      <c r="N43" s="148">
        <f t="shared" si="21"/>
        <v>1355</v>
      </c>
      <c r="O43" s="148" t="str">
        <f t="shared" si="21"/>
        <v>Not Possible</v>
      </c>
      <c r="P43" s="148">
        <f t="shared" si="21"/>
        <v>1355</v>
      </c>
      <c r="Q43" s="148" t="str">
        <f t="shared" si="21"/>
        <v>Not Possible</v>
      </c>
      <c r="R43" s="148">
        <f t="shared" si="21"/>
        <v>1630</v>
      </c>
      <c r="S43" s="148">
        <f t="shared" si="21"/>
        <v>1447</v>
      </c>
      <c r="T43" s="148">
        <f t="shared" si="21"/>
        <v>287</v>
      </c>
    </row>
    <row r="44" spans="2:24">
      <c r="B44" s="59" t="s">
        <v>731</v>
      </c>
      <c r="C44" s="71" t="s">
        <v>613</v>
      </c>
      <c r="D44" s="148" t="str">
        <f t="shared" si="22"/>
        <v>Not Possible</v>
      </c>
      <c r="E44" s="148" t="str">
        <f t="shared" si="22"/>
        <v>Not Possible</v>
      </c>
      <c r="F44" s="148">
        <f t="shared" si="22"/>
        <v>287</v>
      </c>
      <c r="G44" s="148" t="str">
        <f t="shared" si="22"/>
        <v>Not Possible</v>
      </c>
      <c r="H44" s="148">
        <f t="shared" si="22"/>
        <v>0</v>
      </c>
      <c r="I44" s="148" t="str">
        <f t="shared" si="22"/>
        <v>Not Possible</v>
      </c>
      <c r="J44" s="148">
        <f t="shared" si="22"/>
        <v>1355</v>
      </c>
      <c r="K44" s="148" t="str">
        <f t="shared" si="22"/>
        <v>Not Possible</v>
      </c>
      <c r="L44" s="148">
        <f t="shared" si="22"/>
        <v>1355</v>
      </c>
      <c r="M44" s="148" t="str">
        <f t="shared" si="22"/>
        <v>Not Possible</v>
      </c>
      <c r="N44" s="148">
        <f t="shared" si="21"/>
        <v>1355</v>
      </c>
      <c r="O44" s="148" t="str">
        <f t="shared" si="21"/>
        <v>Not Possible</v>
      </c>
      <c r="P44" s="148">
        <f t="shared" si="21"/>
        <v>1355</v>
      </c>
      <c r="Q44" s="148" t="str">
        <f t="shared" si="21"/>
        <v>Not Possible</v>
      </c>
      <c r="R44" s="148">
        <f t="shared" si="21"/>
        <v>1630</v>
      </c>
      <c r="S44" s="148">
        <f t="shared" si="21"/>
        <v>1447</v>
      </c>
      <c r="T44" s="148">
        <f t="shared" si="21"/>
        <v>287</v>
      </c>
    </row>
    <row r="45" spans="2:24">
      <c r="B45" s="59" t="s">
        <v>731</v>
      </c>
      <c r="C45" s="71" t="s">
        <v>614</v>
      </c>
      <c r="D45" s="148" t="str">
        <f t="shared" si="22"/>
        <v>Not Possible</v>
      </c>
      <c r="E45" s="148" t="str">
        <f t="shared" si="22"/>
        <v>Not Possible</v>
      </c>
      <c r="F45" s="148">
        <f t="shared" si="22"/>
        <v>287</v>
      </c>
      <c r="G45" s="148" t="str">
        <f t="shared" si="22"/>
        <v>Not Possible</v>
      </c>
      <c r="H45" s="148">
        <f t="shared" si="22"/>
        <v>0</v>
      </c>
      <c r="I45" s="148" t="str">
        <f t="shared" si="22"/>
        <v>Not Possible</v>
      </c>
      <c r="J45" s="148">
        <f t="shared" si="22"/>
        <v>1355</v>
      </c>
      <c r="K45" s="148" t="str">
        <f t="shared" si="22"/>
        <v>Not Possible</v>
      </c>
      <c r="L45" s="148">
        <f t="shared" si="22"/>
        <v>1355</v>
      </c>
      <c r="M45" s="148" t="str">
        <f t="shared" si="22"/>
        <v>Not Possible</v>
      </c>
      <c r="N45" s="148">
        <f t="shared" si="21"/>
        <v>1355</v>
      </c>
      <c r="O45" s="148" t="str">
        <f t="shared" si="21"/>
        <v>Not Possible</v>
      </c>
      <c r="P45" s="148">
        <f t="shared" si="21"/>
        <v>1355</v>
      </c>
      <c r="Q45" s="148" t="str">
        <f t="shared" si="21"/>
        <v>Not Possible</v>
      </c>
      <c r="R45" s="148">
        <f t="shared" si="21"/>
        <v>1630</v>
      </c>
      <c r="S45" s="148">
        <f t="shared" si="21"/>
        <v>1447</v>
      </c>
      <c r="T45" s="148">
        <f t="shared" si="21"/>
        <v>287</v>
      </c>
    </row>
    <row r="46" spans="2:24">
      <c r="B46" s="59" t="s">
        <v>731</v>
      </c>
      <c r="C46" s="71" t="s">
        <v>615</v>
      </c>
      <c r="D46" s="148" t="str">
        <f t="shared" si="22"/>
        <v>Not Possible</v>
      </c>
      <c r="E46" s="148" t="str">
        <f t="shared" si="22"/>
        <v>Not Possible</v>
      </c>
      <c r="F46" s="148">
        <f t="shared" si="22"/>
        <v>3026.1377961642065</v>
      </c>
      <c r="G46" s="148" t="str">
        <f t="shared" si="22"/>
        <v>Not Possible</v>
      </c>
      <c r="H46" s="148">
        <f t="shared" si="22"/>
        <v>2713.0552048622812</v>
      </c>
      <c r="I46" s="148" t="str">
        <f t="shared" si="22"/>
        <v>Not Possible</v>
      </c>
      <c r="J46" s="148" t="str">
        <f t="shared" si="22"/>
        <v>Not Possible</v>
      </c>
      <c r="K46" s="148" t="str">
        <f t="shared" si="22"/>
        <v>Not Possible</v>
      </c>
      <c r="L46" s="148" t="str">
        <f t="shared" si="22"/>
        <v>Not Possible</v>
      </c>
      <c r="M46" s="148" t="str">
        <f t="shared" si="22"/>
        <v>Not Possible</v>
      </c>
      <c r="N46" s="148" t="str">
        <f t="shared" si="21"/>
        <v>Not Possible</v>
      </c>
      <c r="O46" s="148" t="str">
        <f t="shared" si="21"/>
        <v>Not Possible</v>
      </c>
      <c r="P46" s="148" t="str">
        <f t="shared" si="21"/>
        <v>Not Possible</v>
      </c>
      <c r="Q46" s="148" t="str">
        <f t="shared" si="21"/>
        <v>Not Possible</v>
      </c>
      <c r="R46" s="148" t="str">
        <f t="shared" si="21"/>
        <v>Not Possible</v>
      </c>
      <c r="S46" s="148">
        <f t="shared" si="21"/>
        <v>4125.3331973553868</v>
      </c>
      <c r="T46" s="148">
        <f t="shared" si="21"/>
        <v>3166.4366523651152</v>
      </c>
    </row>
    <row r="47" spans="2:24">
      <c r="B47" s="59" t="s">
        <v>732</v>
      </c>
      <c r="C47" s="71" t="s">
        <v>609</v>
      </c>
      <c r="D47" s="148" t="str">
        <f t="shared" ref="D47:S53" si="23">IF(ISNUMBER(AP106),AP106,"Not Possible")</f>
        <v>Not Possible</v>
      </c>
      <c r="E47" s="148" t="str">
        <f t="shared" si="23"/>
        <v>Not Possible</v>
      </c>
      <c r="F47" s="148">
        <f t="shared" si="23"/>
        <v>313.08259130192528</v>
      </c>
      <c r="G47" s="148" t="str">
        <f t="shared" si="23"/>
        <v>Not Possible</v>
      </c>
      <c r="H47" s="148">
        <f t="shared" si="23"/>
        <v>0</v>
      </c>
      <c r="I47" s="148" t="str">
        <f t="shared" si="23"/>
        <v>Not Possible</v>
      </c>
      <c r="J47" s="148">
        <f t="shared" si="23"/>
        <v>1711.9934753479829</v>
      </c>
      <c r="K47" s="148" t="str">
        <f t="shared" si="23"/>
        <v>Not Possible</v>
      </c>
      <c r="L47" s="148">
        <f t="shared" si="23"/>
        <v>1711.9934753479829</v>
      </c>
      <c r="M47" s="148" t="str">
        <f t="shared" si="23"/>
        <v>Not Possible</v>
      </c>
      <c r="N47" s="148">
        <f t="shared" si="23"/>
        <v>1711.9934753479829</v>
      </c>
      <c r="O47" s="148" t="str">
        <f t="shared" si="23"/>
        <v>Not Possible</v>
      </c>
      <c r="P47" s="148">
        <f t="shared" si="23"/>
        <v>1667.6392925559776</v>
      </c>
      <c r="Q47" s="148" t="str">
        <f t="shared" si="23"/>
        <v>Not Possible</v>
      </c>
      <c r="R47" s="148">
        <f t="shared" si="23"/>
        <v>1865.423845039968</v>
      </c>
      <c r="S47" s="148">
        <f t="shared" si="23"/>
        <v>1412.2779924931056</v>
      </c>
      <c r="T47" s="148">
        <f t="shared" ref="E47:T53" si="24">IF(ISNUMBER(BF106),BF106,"Not Possible")</f>
        <v>453.38144750283391</v>
      </c>
    </row>
    <row r="48" spans="2:24">
      <c r="B48" s="59" t="s">
        <v>732</v>
      </c>
      <c r="C48" s="71" t="s">
        <v>610</v>
      </c>
      <c r="D48" s="148" t="str">
        <f t="shared" si="23"/>
        <v>Not Possible</v>
      </c>
      <c r="E48" s="148" t="str">
        <f t="shared" si="24"/>
        <v>Not Possible</v>
      </c>
      <c r="F48" s="148">
        <f t="shared" si="24"/>
        <v>469.31252249929821</v>
      </c>
      <c r="G48" s="148" t="str">
        <f t="shared" si="24"/>
        <v>Not Possible</v>
      </c>
      <c r="H48" s="148">
        <f t="shared" si="24"/>
        <v>156.2299311973693</v>
      </c>
      <c r="I48" s="148" t="str">
        <f t="shared" si="24"/>
        <v>Not Possible</v>
      </c>
      <c r="J48" s="148">
        <f t="shared" si="24"/>
        <v>1868.2234065453522</v>
      </c>
      <c r="K48" s="148" t="str">
        <f t="shared" si="24"/>
        <v>Not Possible</v>
      </c>
      <c r="L48" s="148">
        <f t="shared" si="24"/>
        <v>1868.2234065453522</v>
      </c>
      <c r="M48" s="148" t="str">
        <f t="shared" si="24"/>
        <v>Not Possible</v>
      </c>
      <c r="N48" s="148">
        <f t="shared" si="24"/>
        <v>1868.2234065453522</v>
      </c>
      <c r="O48" s="148" t="str">
        <f t="shared" si="24"/>
        <v>Not Possible</v>
      </c>
      <c r="P48" s="148">
        <f t="shared" si="24"/>
        <v>1823.8692237533505</v>
      </c>
      <c r="Q48" s="148" t="str">
        <f t="shared" si="24"/>
        <v>Not Possible</v>
      </c>
      <c r="R48" s="148">
        <f t="shared" si="24"/>
        <v>2021.6537762373409</v>
      </c>
      <c r="S48" s="148">
        <f t="shared" si="24"/>
        <v>1568.5079236904785</v>
      </c>
      <c r="T48" s="148">
        <f t="shared" si="24"/>
        <v>609.6113787002032</v>
      </c>
    </row>
    <row r="49" spans="2:58">
      <c r="B49" s="59" t="s">
        <v>732</v>
      </c>
      <c r="C49" s="71" t="s">
        <v>611</v>
      </c>
      <c r="D49" s="148" t="str">
        <f t="shared" si="23"/>
        <v>Not Possible</v>
      </c>
      <c r="E49" s="148" t="str">
        <f t="shared" si="24"/>
        <v>Not Possible</v>
      </c>
      <c r="F49" s="148">
        <f t="shared" si="24"/>
        <v>625.54245369666751</v>
      </c>
      <c r="G49" s="148" t="str">
        <f t="shared" si="24"/>
        <v>Not Possible</v>
      </c>
      <c r="H49" s="148">
        <f t="shared" si="24"/>
        <v>312.45986239474223</v>
      </c>
      <c r="I49" s="148" t="str">
        <f t="shared" si="24"/>
        <v>Not Possible</v>
      </c>
      <c r="J49" s="148">
        <f t="shared" si="24"/>
        <v>2024.4533377427215</v>
      </c>
      <c r="K49" s="148" t="str">
        <f t="shared" si="24"/>
        <v>Not Possible</v>
      </c>
      <c r="L49" s="148">
        <f t="shared" si="24"/>
        <v>2024.4533377427215</v>
      </c>
      <c r="M49" s="148" t="str">
        <f t="shared" si="24"/>
        <v>Not Possible</v>
      </c>
      <c r="N49" s="148">
        <f t="shared" si="24"/>
        <v>2024.4533377427215</v>
      </c>
      <c r="O49" s="148" t="str">
        <f t="shared" si="24"/>
        <v>Not Possible</v>
      </c>
      <c r="P49" s="148">
        <f t="shared" si="24"/>
        <v>1980.0991549507198</v>
      </c>
      <c r="Q49" s="148" t="str">
        <f t="shared" si="24"/>
        <v>Not Possible</v>
      </c>
      <c r="R49" s="148">
        <f t="shared" si="24"/>
        <v>2177.8837074347102</v>
      </c>
      <c r="S49" s="148">
        <f t="shared" si="24"/>
        <v>1724.7378548878478</v>
      </c>
      <c r="T49" s="148">
        <f t="shared" si="24"/>
        <v>765.8413098975725</v>
      </c>
    </row>
    <row r="50" spans="2:58">
      <c r="B50" s="59" t="s">
        <v>732</v>
      </c>
      <c r="C50" s="71" t="s">
        <v>612</v>
      </c>
      <c r="D50" s="148" t="str">
        <f t="shared" si="23"/>
        <v>Not Possible</v>
      </c>
      <c r="E50" s="148" t="str">
        <f t="shared" si="24"/>
        <v>Not Possible</v>
      </c>
      <c r="F50" s="148">
        <f t="shared" si="24"/>
        <v>781.7723848940368</v>
      </c>
      <c r="G50" s="148" t="str">
        <f t="shared" si="24"/>
        <v>Not Possible</v>
      </c>
      <c r="H50" s="148">
        <f t="shared" si="24"/>
        <v>468.68979359211153</v>
      </c>
      <c r="I50" s="148" t="str">
        <f t="shared" si="24"/>
        <v>Not Possible</v>
      </c>
      <c r="J50" s="148">
        <f t="shared" si="24"/>
        <v>2180.6832689400944</v>
      </c>
      <c r="K50" s="148" t="str">
        <f t="shared" si="24"/>
        <v>Not Possible</v>
      </c>
      <c r="L50" s="148">
        <f t="shared" si="24"/>
        <v>2180.6832689400944</v>
      </c>
      <c r="M50" s="148" t="str">
        <f t="shared" si="24"/>
        <v>Not Possible</v>
      </c>
      <c r="N50" s="148">
        <f t="shared" si="24"/>
        <v>2180.6832689400944</v>
      </c>
      <c r="O50" s="148" t="str">
        <f t="shared" si="24"/>
        <v>Not Possible</v>
      </c>
      <c r="P50" s="148">
        <f t="shared" si="24"/>
        <v>2136.3290861480891</v>
      </c>
      <c r="Q50" s="148" t="str">
        <f t="shared" si="24"/>
        <v>Not Possible</v>
      </c>
      <c r="R50" s="148">
        <f t="shared" si="24"/>
        <v>2334.1136386320795</v>
      </c>
      <c r="S50" s="148">
        <f t="shared" si="24"/>
        <v>1880.9677860852171</v>
      </c>
      <c r="T50" s="148">
        <f t="shared" si="24"/>
        <v>922.07124109494544</v>
      </c>
    </row>
    <row r="51" spans="2:58">
      <c r="B51" s="59" t="s">
        <v>732</v>
      </c>
      <c r="C51" s="71" t="s">
        <v>613</v>
      </c>
      <c r="D51" s="148" t="str">
        <f t="shared" si="23"/>
        <v>Not Possible</v>
      </c>
      <c r="E51" s="148" t="str">
        <f t="shared" si="24"/>
        <v>Not Possible</v>
      </c>
      <c r="F51" s="148">
        <f t="shared" si="24"/>
        <v>938.0023160914061</v>
      </c>
      <c r="G51" s="148" t="str">
        <f t="shared" si="24"/>
        <v>Not Possible</v>
      </c>
      <c r="H51" s="148">
        <f t="shared" si="24"/>
        <v>624.91972478948082</v>
      </c>
      <c r="I51" s="148" t="str">
        <f t="shared" si="24"/>
        <v>Not Possible</v>
      </c>
      <c r="J51" s="148">
        <f t="shared" si="24"/>
        <v>2336.9132001374637</v>
      </c>
      <c r="K51" s="148" t="str">
        <f t="shared" si="24"/>
        <v>Not Possible</v>
      </c>
      <c r="L51" s="148">
        <f t="shared" si="24"/>
        <v>2336.9132001374637</v>
      </c>
      <c r="M51" s="148" t="str">
        <f t="shared" si="24"/>
        <v>Not Possible</v>
      </c>
      <c r="N51" s="148">
        <f t="shared" si="24"/>
        <v>2336.9132001374637</v>
      </c>
      <c r="O51" s="148" t="str">
        <f t="shared" si="24"/>
        <v>Not Possible</v>
      </c>
      <c r="P51" s="148">
        <f t="shared" si="24"/>
        <v>2292.5590173454621</v>
      </c>
      <c r="Q51" s="148" t="str">
        <f t="shared" si="24"/>
        <v>Not Possible</v>
      </c>
      <c r="R51" s="148">
        <f t="shared" si="24"/>
        <v>2490.3435698294488</v>
      </c>
      <c r="S51" s="148">
        <f t="shared" si="24"/>
        <v>2037.19771728259</v>
      </c>
      <c r="T51" s="148">
        <f t="shared" si="24"/>
        <v>1078.3011722923147</v>
      </c>
    </row>
    <row r="52" spans="2:58">
      <c r="B52" s="59" t="s">
        <v>732</v>
      </c>
      <c r="C52" s="71" t="s">
        <v>614</v>
      </c>
      <c r="D52" s="148" t="str">
        <f t="shared" si="23"/>
        <v>Not Possible</v>
      </c>
      <c r="E52" s="148" t="str">
        <f t="shared" si="24"/>
        <v>Not Possible</v>
      </c>
      <c r="F52" s="148">
        <f t="shared" si="24"/>
        <v>1094.232247288779</v>
      </c>
      <c r="G52" s="148" t="str">
        <f t="shared" si="24"/>
        <v>Not Possible</v>
      </c>
      <c r="H52" s="148">
        <f t="shared" si="24"/>
        <v>781.14965598685376</v>
      </c>
      <c r="I52" s="148" t="str">
        <f t="shared" si="24"/>
        <v>Not Possible</v>
      </c>
      <c r="J52" s="148">
        <f t="shared" si="24"/>
        <v>2493.143131334833</v>
      </c>
      <c r="K52" s="148" t="str">
        <f t="shared" si="24"/>
        <v>Not Possible</v>
      </c>
      <c r="L52" s="148">
        <f t="shared" si="24"/>
        <v>2493.143131334833</v>
      </c>
      <c r="M52" s="148" t="str">
        <f t="shared" si="24"/>
        <v>Not Possible</v>
      </c>
      <c r="N52" s="148">
        <f t="shared" si="24"/>
        <v>2493.143131334833</v>
      </c>
      <c r="O52" s="148" t="str">
        <f t="shared" si="24"/>
        <v>Not Possible</v>
      </c>
      <c r="P52" s="148">
        <f t="shared" si="24"/>
        <v>2448.7889485428313</v>
      </c>
      <c r="Q52" s="148" t="str">
        <f t="shared" si="24"/>
        <v>Not Possible</v>
      </c>
      <c r="R52" s="148">
        <f t="shared" si="24"/>
        <v>2646.5735010268218</v>
      </c>
      <c r="S52" s="148">
        <f t="shared" si="24"/>
        <v>2193.4276484799593</v>
      </c>
      <c r="T52" s="148">
        <f t="shared" si="24"/>
        <v>1234.531103489684</v>
      </c>
    </row>
    <row r="53" spans="2:58">
      <c r="B53" s="59" t="s">
        <v>732</v>
      </c>
      <c r="C53" s="71" t="s">
        <v>615</v>
      </c>
      <c r="D53" s="148" t="str">
        <f t="shared" si="23"/>
        <v>Not Possible</v>
      </c>
      <c r="E53" s="148" t="str">
        <f t="shared" si="24"/>
        <v>Not Possible</v>
      </c>
      <c r="F53" s="148">
        <f t="shared" si="24"/>
        <v>1875.3819032756292</v>
      </c>
      <c r="G53" s="148" t="str">
        <f t="shared" si="24"/>
        <v>Not Possible</v>
      </c>
      <c r="H53" s="148">
        <f t="shared" si="24"/>
        <v>1562.2993119737039</v>
      </c>
      <c r="I53" s="148" t="str">
        <f t="shared" si="24"/>
        <v>Not Possible</v>
      </c>
      <c r="J53" s="148" t="str">
        <f t="shared" si="24"/>
        <v>Not Possible</v>
      </c>
      <c r="K53" s="148" t="str">
        <f t="shared" si="24"/>
        <v>Not Possible</v>
      </c>
      <c r="L53" s="148" t="str">
        <f t="shared" si="24"/>
        <v>Not Possible</v>
      </c>
      <c r="M53" s="148" t="str">
        <f t="shared" si="24"/>
        <v>Not Possible</v>
      </c>
      <c r="N53" s="148" t="str">
        <f t="shared" si="24"/>
        <v>Not Possible</v>
      </c>
      <c r="O53" s="148" t="str">
        <f t="shared" si="24"/>
        <v>Not Possible</v>
      </c>
      <c r="P53" s="148" t="str">
        <f t="shared" si="24"/>
        <v>Not Possible</v>
      </c>
      <c r="Q53" s="148" t="str">
        <f t="shared" si="24"/>
        <v>Not Possible</v>
      </c>
      <c r="R53" s="148" t="str">
        <f t="shared" si="24"/>
        <v>Not Possible</v>
      </c>
      <c r="S53" s="148">
        <f t="shared" si="24"/>
        <v>2974.5773044668094</v>
      </c>
      <c r="T53" s="148">
        <f t="shared" si="24"/>
        <v>2015.6807594765378</v>
      </c>
    </row>
    <row r="54" spans="2:58">
      <c r="E54" s="11"/>
    </row>
    <row r="55" spans="2:58">
      <c r="B55" s="1" t="s">
        <v>669</v>
      </c>
      <c r="E55" s="11"/>
      <c r="V55" s="51" t="s">
        <v>706</v>
      </c>
    </row>
    <row r="56" spans="2:58" s="118" customFormat="1" ht="72">
      <c r="B56" s="115" t="s">
        <v>666</v>
      </c>
      <c r="C56" s="116" t="s">
        <v>676</v>
      </c>
      <c r="D56" s="117" t="str">
        <f t="shared" ref="D56:T56" si="25">D3</f>
        <v>Part L 21</v>
      </c>
      <c r="E56" s="117" t="str">
        <f t="shared" si="25"/>
        <v xml:space="preserve">Notional Building C&amp;B </v>
      </c>
      <c r="F56" s="117" t="str">
        <f t="shared" si="25"/>
        <v xml:space="preserve">Notional Building C&amp;B </v>
      </c>
      <c r="G56" s="117" t="str">
        <f t="shared" si="25"/>
        <v>35 kWh/m2.year</v>
      </c>
      <c r="H56" s="117" t="str">
        <f t="shared" si="25"/>
        <v>35 kWh/m2.year</v>
      </c>
      <c r="I56" s="117" t="str">
        <f t="shared" si="25"/>
        <v>35 kWh/m2.year</v>
      </c>
      <c r="J56" s="117" t="str">
        <f t="shared" si="25"/>
        <v>35 kWh/m2.year</v>
      </c>
      <c r="K56" s="117" t="str">
        <f t="shared" si="25"/>
        <v>30 kWh/m2.year</v>
      </c>
      <c r="L56" s="117" t="str">
        <f t="shared" si="25"/>
        <v>30 kWh/m2.year</v>
      </c>
      <c r="M56" s="117" t="str">
        <f t="shared" si="25"/>
        <v>25 kWh/m2.year</v>
      </c>
      <c r="N56" s="117" t="str">
        <f t="shared" si="25"/>
        <v>25 kWh/m2.year</v>
      </c>
      <c r="O56" s="117" t="str">
        <f t="shared" si="25"/>
        <v>20 kWh/m2.year</v>
      </c>
      <c r="P56" s="117" t="str">
        <f t="shared" si="25"/>
        <v>20 kWh/m2.year</v>
      </c>
      <c r="Q56" s="117" t="str">
        <f t="shared" si="25"/>
        <v>15 kWh/m2.year (Passivhaus)</v>
      </c>
      <c r="R56" s="117" t="str">
        <f t="shared" si="25"/>
        <v>15 kWh/m2.year (Passivhaus)</v>
      </c>
      <c r="S56" s="117" t="str">
        <f t="shared" si="25"/>
        <v>FHS</v>
      </c>
      <c r="T56" s="117" t="str">
        <f t="shared" si="25"/>
        <v>Bespoke</v>
      </c>
      <c r="V56" s="139" t="s">
        <v>16</v>
      </c>
      <c r="W56" s="117" t="s">
        <v>343</v>
      </c>
      <c r="X56" s="117" t="s">
        <v>435</v>
      </c>
      <c r="Y56" s="117" t="s">
        <v>436</v>
      </c>
      <c r="Z56" s="117" t="s">
        <v>437</v>
      </c>
      <c r="AA56" s="117" t="s">
        <v>438</v>
      </c>
      <c r="AB56" s="117" t="s">
        <v>439</v>
      </c>
      <c r="AC56" s="117" t="s">
        <v>440</v>
      </c>
      <c r="AD56" s="117" t="s">
        <v>441</v>
      </c>
      <c r="AE56" s="117" t="s">
        <v>442</v>
      </c>
      <c r="AF56" s="117" t="s">
        <v>443</v>
      </c>
      <c r="AG56" s="117" t="s">
        <v>444</v>
      </c>
      <c r="AH56" s="117" t="s">
        <v>445</v>
      </c>
      <c r="AI56" s="117" t="s">
        <v>446</v>
      </c>
      <c r="AJ56" s="117" t="s">
        <v>447</v>
      </c>
      <c r="AK56" s="117" t="s">
        <v>677</v>
      </c>
      <c r="AL56" s="117" t="s">
        <v>351</v>
      </c>
      <c r="AM56" s="117" t="s">
        <v>791</v>
      </c>
      <c r="AO56" s="144" t="s">
        <v>16</v>
      </c>
      <c r="AP56" s="117" t="s">
        <v>343</v>
      </c>
      <c r="AQ56" s="117" t="s">
        <v>435</v>
      </c>
      <c r="AR56" s="117" t="s">
        <v>436</v>
      </c>
      <c r="AS56" s="117" t="s">
        <v>437</v>
      </c>
      <c r="AT56" s="117" t="s">
        <v>438</v>
      </c>
      <c r="AU56" s="117" t="s">
        <v>439</v>
      </c>
      <c r="AV56" s="117" t="s">
        <v>440</v>
      </c>
      <c r="AW56" s="117" t="s">
        <v>441</v>
      </c>
      <c r="AX56" s="117" t="s">
        <v>442</v>
      </c>
      <c r="AY56" s="117" t="s">
        <v>443</v>
      </c>
      <c r="AZ56" s="117" t="s">
        <v>444</v>
      </c>
      <c r="BA56" s="117" t="s">
        <v>445</v>
      </c>
      <c r="BB56" s="117" t="s">
        <v>446</v>
      </c>
      <c r="BC56" s="117" t="s">
        <v>447</v>
      </c>
      <c r="BD56" s="117" t="s">
        <v>677</v>
      </c>
      <c r="BE56" s="117" t="s">
        <v>351</v>
      </c>
      <c r="BF56" s="117" t="s">
        <v>791</v>
      </c>
    </row>
    <row r="57" spans="2:58">
      <c r="B57" s="112" t="s">
        <v>667</v>
      </c>
      <c r="C57" s="129"/>
      <c r="D57" s="61"/>
      <c r="E57" s="113"/>
      <c r="F57" s="61"/>
      <c r="G57" s="61"/>
      <c r="H57" s="61"/>
      <c r="I57" s="61"/>
      <c r="J57" s="61"/>
      <c r="K57" s="61"/>
      <c r="L57" s="61"/>
      <c r="M57" s="61"/>
      <c r="N57" s="61"/>
      <c r="O57" s="61"/>
      <c r="P57" s="61"/>
      <c r="Q57" s="61"/>
      <c r="R57" s="61"/>
      <c r="S57" s="61"/>
      <c r="T57" s="59"/>
      <c r="V57" s="112" t="s">
        <v>667</v>
      </c>
      <c r="W57" s="59"/>
      <c r="X57" s="59"/>
      <c r="Y57" s="59"/>
      <c r="Z57" s="59"/>
      <c r="AA57" s="59"/>
      <c r="AB57" s="59"/>
      <c r="AC57" s="59"/>
      <c r="AD57" s="59"/>
      <c r="AE57" s="59"/>
      <c r="AF57" s="59"/>
      <c r="AG57" s="59"/>
      <c r="AH57" s="59"/>
      <c r="AI57" s="59"/>
      <c r="AJ57" s="59"/>
      <c r="AK57" s="59"/>
      <c r="AL57" s="59"/>
      <c r="AM57" s="59"/>
      <c r="AO57" s="133" t="s">
        <v>667</v>
      </c>
      <c r="AP57" s="132"/>
      <c r="AQ57" s="132"/>
      <c r="AR57" s="132"/>
      <c r="AS57" s="132"/>
      <c r="AT57" s="132"/>
      <c r="AU57" s="132"/>
      <c r="AV57" s="132"/>
      <c r="AW57" s="132"/>
      <c r="AX57" s="132"/>
      <c r="AY57" s="132"/>
      <c r="AZ57" s="132"/>
      <c r="BA57" s="132"/>
      <c r="BB57" s="132"/>
      <c r="BC57" s="132"/>
      <c r="BD57" s="132"/>
      <c r="BE57" s="132"/>
      <c r="BF57" s="132"/>
    </row>
    <row r="58" spans="2:58" s="4" customFormat="1">
      <c r="B58" s="130" t="s">
        <v>609</v>
      </c>
      <c r="C58" s="127">
        <f>SAP!D159</f>
        <v>10.808029267367754</v>
      </c>
      <c r="D58" s="131">
        <f>IF(IF(D$39&lt;=$C58,D$26,(((D$39-$C58)/SAP!$C$10)*'C&amp;B'!$D$13/SAP!$C$143)+D$26)&lt;=SAP!$E$151,IF(D$39&lt;=$C58,D$26,(((D$39-$C58)/SAP!$C$10)*'C&amp;B'!$D$13/SAP!$C$143)+D$26),"Not Possible")</f>
        <v>2.6215384615384618</v>
      </c>
      <c r="E58" s="131">
        <f>IF(IF(E$39&lt;=$C58,E$26,(((E$39-$C58)/SAP!$C$10)*'C&amp;B'!$D$13/SAP!$C$143)+E$26)&lt;=SAP!$E$151,IF(E$39&lt;=$C58,E$26,(((E$39-$C58)/SAP!$C$10)*'C&amp;B'!$D$13/SAP!$C$143)+E$26),"Not Possible")</f>
        <v>2.9364293169759477</v>
      </c>
      <c r="F58" s="131">
        <f>IF(IF(F$39&lt;=$C58,F$26,(((F$39-$C58)/SAP!$C$10)*'C&amp;B'!$D$13/SAP!$C$143)+F$26)&lt;=SAP!$E$151,IF(F$39&lt;=$C58,F$26,(((F$39-$C58)/SAP!$C$10)*'C&amp;B'!$D$13/SAP!$C$143)+F$26),"Not Possible")</f>
        <v>0</v>
      </c>
      <c r="G58" s="131">
        <f>IF(IF(G$39&lt;=$C58,G$26,(((G$39-$C58)/SAP!$C$10)*'C&amp;B'!$D$13/SAP!$C$143)+G$26)&lt;=SAP!$E$151,IF(G$39&lt;=$C58,G$26,(((G$39-$C58)/SAP!$C$10)*'C&amp;B'!$D$13/SAP!$C$143)+G$26),"Not Possible")</f>
        <v>2.4609677049685188</v>
      </c>
      <c r="H58" s="131">
        <f>IF(IF(H$39&lt;=$C58,H$26,(((H$39-$C58)/SAP!$C$10)*'C&amp;B'!$D$13/SAP!$C$143)+H$26)&lt;=SAP!$E$151,IF(H$39&lt;=$C58,H$26,(((H$39-$C58)/SAP!$C$10)*'C&amp;B'!$D$13/SAP!$C$143)+H$26),"Not Possible")</f>
        <v>0</v>
      </c>
      <c r="I58" s="131">
        <f>IF(IF(I$39&lt;=$C58,I$26,(((I$39-$C58)/SAP!$C$10)*'C&amp;B'!$D$13/SAP!$C$143)+I$26)&lt;=SAP!$E$151,IF(I$39&lt;=$C58,I$26,(((I$39-$C58)/SAP!$C$10)*'C&amp;B'!$D$13/SAP!$C$143)+I$26),"Not Possible")</f>
        <v>3.0559568305484888</v>
      </c>
      <c r="J58" s="131">
        <f>IF(IF(J$39&lt;=$C58,J$26,(((J$39-$C58)/SAP!$C$10)*'C&amp;B'!$D$13/SAP!$C$143)+J$26)&lt;=SAP!$E$151,IF(J$39&lt;=$C58,J$26,(((J$39-$C58)/SAP!$C$10)*'C&amp;B'!$D$13/SAP!$C$143)+J$26),"Not Possible")</f>
        <v>0</v>
      </c>
      <c r="K58" s="131">
        <f>IF(IF(K$39&lt;=$C58,K$26,(((K$39-$C58)/SAP!$C$10)*'C&amp;B'!$D$13/SAP!$C$143)+K$26)&lt;=SAP!$E$151,IF(K$39&lt;=$C58,K$26,(((K$39-$C58)/SAP!$C$10)*'C&amp;B'!$D$13/SAP!$C$143)+K$26),"Not Possible")</f>
        <v>3.0559568305484888</v>
      </c>
      <c r="L58" s="131">
        <f>IF(IF(L$39&lt;=$C58,L$26,(((L$39-$C58)/SAP!$C$10)*'C&amp;B'!$D$13/SAP!$C$143)+L$26)&lt;=SAP!$E$151,IF(L$39&lt;=$C58,L$26,(((L$39-$C58)/SAP!$C$10)*'C&amp;B'!$D$13/SAP!$C$143)+L$26),"Not Possible")</f>
        <v>0</v>
      </c>
      <c r="M58" s="131">
        <f>IF(IF(M$39&lt;=$C58,M$26,(((M$39-$C58)/SAP!$C$10)*'C&amp;B'!$D$13/SAP!$C$143)+M$26)&lt;=SAP!$E$151,IF(M$39&lt;=$C58,M$26,(((M$39-$C58)/SAP!$C$10)*'C&amp;B'!$D$13/SAP!$C$143)+M$26),"Not Possible")</f>
        <v>3.0559568305484888</v>
      </c>
      <c r="N58" s="131">
        <f>IF(IF(N$39&lt;=$C58,N$26,(((N$39-$C58)/SAP!$C$10)*'C&amp;B'!$D$13/SAP!$C$143)+N$26)&lt;=SAP!$E$151,IF(N$39&lt;=$C58,N$26,(((N$39-$C58)/SAP!$C$10)*'C&amp;B'!$D$13/SAP!$C$143)+N$26),"Not Possible")</f>
        <v>0</v>
      </c>
      <c r="O58" s="131">
        <f>IF(IF(O$39&lt;=$C58,O$26,(((O$39-$C58)/SAP!$C$10)*'C&amp;B'!$D$13/SAP!$C$143)+O$26)&lt;=SAP!$E$151,IF(O$39&lt;=$C58,O$26,(((O$39-$C58)/SAP!$C$10)*'C&amp;B'!$D$13/SAP!$C$143)+O$26),"Not Possible")</f>
        <v>2.6223265518557186</v>
      </c>
      <c r="P58" s="131">
        <f>IF(IF(P$39&lt;=$C58,P$26,(((P$39-$C58)/SAP!$C$10)*'C&amp;B'!$D$13/SAP!$C$143)+P$26)&lt;=SAP!$E$151,IF(P$39&lt;=$C58,P$26,(((P$39-$C58)/SAP!$C$10)*'C&amp;B'!$D$13/SAP!$C$143)+P$26),"Not Possible")</f>
        <v>0</v>
      </c>
      <c r="Q58" s="131">
        <f>IF(IF(Q$39&lt;=$C58,Q$26,(((Q$39-$C58)/SAP!$C$10)*'C&amp;B'!$D$13/SAP!$C$143)+Q$26)&lt;=SAP!$E$151,IF(Q$39&lt;=$C58,Q$26,(((Q$39-$C58)/SAP!$C$10)*'C&amp;B'!$D$13/SAP!$C$143)+Q$26),"Not Possible")</f>
        <v>1.8674269253025511</v>
      </c>
      <c r="R58" s="131">
        <f>IF(IF(R$39&lt;=$C58,R$26,(((R$39-$C58)/SAP!$C$10)*'C&amp;B'!$D$13/SAP!$C$143)+R$26)&lt;=SAP!$E$151,IF(R$39&lt;=$C58,R$26,(((R$39-$C58)/SAP!$C$10)*'C&amp;B'!$D$13/SAP!$C$143)+R$26),"Not Possible")</f>
        <v>0</v>
      </c>
      <c r="S58" s="131">
        <f>IF(IF(S$39&lt;=$C58,S$26,(((S$39-$C58)/SAP!$C$10)*'C&amp;B'!$D$13/SAP!$C$143)+S$26)&lt;=SAP!$E$151,IF(S$39&lt;=$C58,S$26,(((S$39-$C58)/SAP!$C$10)*'C&amp;B'!$D$13/SAP!$C$143)+S$26),"Not Possible")</f>
        <v>0</v>
      </c>
      <c r="T58" s="131">
        <f>IF(IF(T$39&lt;=$C58,T$26,(((T$39-$C58)/SAP!$C$10)*'C&amp;B'!$D$13/SAP!$C$143)+T$26)&lt;=SAP!$E$151,IF(T$39&lt;=$C58,T$26,(((T$39-$C58)/SAP!$C$10)*'C&amp;B'!$D$13/SAP!$C$143)+T$26),"Not Possible")</f>
        <v>0</v>
      </c>
      <c r="V58" s="130" t="s">
        <v>609</v>
      </c>
      <c r="W58" s="82">
        <f>IF(D58=0,0,IF(D58&lt;4,'C&amp;B'!$E$316+(D58*'C&amp;B'!$E$317),D58*'C&amp;B'!$E$318))</f>
        <v>2672.9230769230771</v>
      </c>
      <c r="X58" s="82">
        <f>IF(E58=0,0,IF(E58&lt;4,'C&amp;B'!$E$316+(E58*'C&amp;B'!$E$317),E58*'C&amp;B'!$E$318))</f>
        <v>2861.8575901855684</v>
      </c>
      <c r="Y58" s="82">
        <f>IF(F58=0,0,IF(F58&lt;4,'C&amp;B'!$E$316+(F58*'C&amp;B'!$E$317),F58*'C&amp;B'!$E$318))</f>
        <v>0</v>
      </c>
      <c r="Z58" s="82">
        <f>IF(G58=0,0,IF(G58&lt;4,'C&amp;B'!$E$316+(G58*'C&amp;B'!$E$317),G58*'C&amp;B'!$E$318))</f>
        <v>2576.5806229811114</v>
      </c>
      <c r="AA58" s="82">
        <f>IF(H58=0,0,IF(H58&lt;4,'C&amp;B'!$E$316+(H58*'C&amp;B'!$E$317),H58*'C&amp;B'!$E$318))</f>
        <v>0</v>
      </c>
      <c r="AB58" s="82">
        <f>IF(I58=0,0,IF(I58&lt;4,'C&amp;B'!$E$316+(I58*'C&amp;B'!$E$317),I58*'C&amp;B'!$E$318))</f>
        <v>2933.5740983290934</v>
      </c>
      <c r="AC58" s="82">
        <f>IF(J58=0,0,IF(J58&lt;4,'C&amp;B'!$E$316+(J58*'C&amp;B'!$E$317),J58*'C&amp;B'!$E$318))</f>
        <v>0</v>
      </c>
      <c r="AD58" s="82">
        <f>IF(K58=0,0,IF(K58&lt;4,'C&amp;B'!$E$316+(K58*'C&amp;B'!$E$317),K58*'C&amp;B'!$E$318))</f>
        <v>2933.5740983290934</v>
      </c>
      <c r="AE58" s="82">
        <f>IF(L58=0,0,IF(L58&lt;4,'C&amp;B'!$E$316+(L58*'C&amp;B'!$E$317),L58*'C&amp;B'!$E$318))</f>
        <v>0</v>
      </c>
      <c r="AF58" s="82">
        <f>IF(M58=0,0,IF(M58&lt;4,'C&amp;B'!$E$316+(M58*'C&amp;B'!$E$317),M58*'C&amp;B'!$E$318))</f>
        <v>2933.5740983290934</v>
      </c>
      <c r="AG58" s="82">
        <f>IF(N58=0,0,IF(N58&lt;4,'C&amp;B'!$E$316+(N58*'C&amp;B'!$E$317),N58*'C&amp;B'!$E$318))</f>
        <v>0</v>
      </c>
      <c r="AH58" s="82">
        <f>IF(O58=0,0,IF(O58&lt;4,'C&amp;B'!$E$316+(O58*'C&amp;B'!$E$317),O58*'C&amp;B'!$E$318))</f>
        <v>2673.3959311134313</v>
      </c>
      <c r="AI58" s="82">
        <f>IF(P58=0,0,IF(P58&lt;4,'C&amp;B'!$E$316+(P58*'C&amp;B'!$E$317),P58*'C&amp;B'!$E$318))</f>
        <v>0</v>
      </c>
      <c r="AJ58" s="82">
        <f>IF(Q58=0,0,IF(Q58&lt;4,'C&amp;B'!$E$316+(Q58*'C&amp;B'!$E$317),Q58*'C&amp;B'!$E$318))</f>
        <v>2220.4561551815304</v>
      </c>
      <c r="AK58" s="82">
        <f>IF(R58=0,0,IF(R58&lt;4,'C&amp;B'!$E$316+(R58*'C&amp;B'!$E$317),R58*'C&amp;B'!$E$318))</f>
        <v>0</v>
      </c>
      <c r="AL58" s="82">
        <f>IF(S58=0,0,IF(S58&lt;4,'C&amp;B'!$E$316+(S58*'C&amp;B'!$E$317),S58*'C&amp;B'!$E$318))</f>
        <v>0</v>
      </c>
      <c r="AM58" s="82">
        <f>IF(T58=0,0,IF(T58&lt;4,'C&amp;B'!$E$316+(T58*'C&amp;B'!$E$317),T58*'C&amp;B'!$E$318))</f>
        <v>0</v>
      </c>
      <c r="AO58" s="130" t="s">
        <v>609</v>
      </c>
      <c r="AP58" s="82">
        <f>AP$27-AP$26+W58</f>
        <v>33157.923076923078</v>
      </c>
      <c r="AQ58" s="82">
        <f t="shared" ref="AQ58:BF64" si="26">AQ$27-AQ$26+X58</f>
        <v>32553.857590185569</v>
      </c>
      <c r="AR58" s="82">
        <f t="shared" si="26"/>
        <v>24370</v>
      </c>
      <c r="AS58" s="82">
        <f t="shared" si="26"/>
        <v>31981.580622981113</v>
      </c>
      <c r="AT58" s="82">
        <f t="shared" si="26"/>
        <v>24083</v>
      </c>
      <c r="AU58" s="82">
        <f t="shared" si="26"/>
        <v>33693.574098329096</v>
      </c>
      <c r="AV58" s="82">
        <f t="shared" si="26"/>
        <v>25438</v>
      </c>
      <c r="AW58" s="82">
        <f t="shared" si="26"/>
        <v>33693.574098329096</v>
      </c>
      <c r="AX58" s="82">
        <f t="shared" si="26"/>
        <v>25438</v>
      </c>
      <c r="AY58" s="82">
        <f t="shared" si="26"/>
        <v>33693.574098329096</v>
      </c>
      <c r="AZ58" s="82">
        <f t="shared" si="26"/>
        <v>25438</v>
      </c>
      <c r="BA58" s="82">
        <f t="shared" si="26"/>
        <v>33433.395931113431</v>
      </c>
      <c r="BB58" s="82">
        <f t="shared" si="26"/>
        <v>25438</v>
      </c>
      <c r="BC58" s="82">
        <f t="shared" si="26"/>
        <v>33255.456155181528</v>
      </c>
      <c r="BD58" s="82">
        <f t="shared" si="26"/>
        <v>25713</v>
      </c>
      <c r="BE58" s="82">
        <f t="shared" si="26"/>
        <v>25530</v>
      </c>
      <c r="BF58" s="82">
        <f t="shared" si="26"/>
        <v>24370</v>
      </c>
    </row>
    <row r="59" spans="2:58" s="4" customFormat="1">
      <c r="B59" s="130" t="s">
        <v>610</v>
      </c>
      <c r="C59" s="127">
        <f>SAP!D160</f>
        <v>9.7272263406309794</v>
      </c>
      <c r="D59" s="131">
        <f>IF(IF(D$39&lt;=$C59,D$26,(((D$39-$C59)/SAP!$C$10)*'C&amp;B'!$D$13/SAP!$C$143)+D$26)&lt;=SAP!$E$151,IF(D$39&lt;=$C59,D$26,(((D$39-$C59)/SAP!$C$10)*'C&amp;B'!$D$13/SAP!$C$143)+D$26),"Not Possible")</f>
        <v>2.6215384615384618</v>
      </c>
      <c r="E59" s="131" t="str">
        <f>IF(IF(E$39&lt;=$C59,E$26,(((E$39-$C59)/SAP!$C$10)*'C&amp;B'!$D$13/SAP!$C$143)+E$26)&lt;=SAP!$E$151,IF(E$39&lt;=$C59,E$26,(((E$39-$C59)/SAP!$C$10)*'C&amp;B'!$D$13/SAP!$C$143)+E$26),"Not Possible")</f>
        <v>Not Possible</v>
      </c>
      <c r="F59" s="131">
        <f>IF(IF(F$39&lt;=$C59,F$26,(((F$39-$C59)/SAP!$C$10)*'C&amp;B'!$D$13/SAP!$C$143)+F$26)&lt;=SAP!$E$151,IF(F$39&lt;=$C59,F$26,(((F$39-$C59)/SAP!$C$10)*'C&amp;B'!$D$13/SAP!$C$143)+F$26),"Not Possible")</f>
        <v>0</v>
      </c>
      <c r="G59" s="131" t="str">
        <f>IF(IF(G$39&lt;=$C59,G$26,(((G$39-$C59)/SAP!$C$10)*'C&amp;B'!$D$13/SAP!$C$143)+G$26)&lt;=SAP!$E$151,IF(G$39&lt;=$C59,G$26,(((G$39-$C59)/SAP!$C$10)*'C&amp;B'!$D$13/SAP!$C$143)+G$26),"Not Possible")</f>
        <v>Not Possible</v>
      </c>
      <c r="H59" s="131">
        <f>IF(IF(H$39&lt;=$C59,H$26,(((H$39-$C59)/SAP!$C$10)*'C&amp;B'!$D$13/SAP!$C$143)+H$26)&lt;=SAP!$E$151,IF(H$39&lt;=$C59,H$26,(((H$39-$C59)/SAP!$C$10)*'C&amp;B'!$D$13/SAP!$C$143)+H$26),"Not Possible")</f>
        <v>0</v>
      </c>
      <c r="I59" s="131" t="str">
        <f>IF(IF(I$39&lt;=$C59,I$26,(((I$39-$C59)/SAP!$C$10)*'C&amp;B'!$D$13/SAP!$C$143)+I$26)&lt;=SAP!$E$151,IF(I$39&lt;=$C59,I$26,(((I$39-$C59)/SAP!$C$10)*'C&amp;B'!$D$13/SAP!$C$143)+I$26),"Not Possible")</f>
        <v>Not Possible</v>
      </c>
      <c r="J59" s="131">
        <f>IF(IF(J$39&lt;=$C59,J$26,(((J$39-$C59)/SAP!$C$10)*'C&amp;B'!$D$13/SAP!$C$143)+J$26)&lt;=SAP!$E$151,IF(J$39&lt;=$C59,J$26,(((J$39-$C59)/SAP!$C$10)*'C&amp;B'!$D$13/SAP!$C$143)+J$26),"Not Possible")</f>
        <v>0</v>
      </c>
      <c r="K59" s="131" t="str">
        <f>IF(IF(K$39&lt;=$C59,K$26,(((K$39-$C59)/SAP!$C$10)*'C&amp;B'!$D$13/SAP!$C$143)+K$26)&lt;=SAP!$E$151,IF(K$39&lt;=$C59,K$26,(((K$39-$C59)/SAP!$C$10)*'C&amp;B'!$D$13/SAP!$C$143)+K$26),"Not Possible")</f>
        <v>Not Possible</v>
      </c>
      <c r="L59" s="131">
        <f>IF(IF(L$39&lt;=$C59,L$26,(((L$39-$C59)/SAP!$C$10)*'C&amp;B'!$D$13/SAP!$C$143)+L$26)&lt;=SAP!$E$151,IF(L$39&lt;=$C59,L$26,(((L$39-$C59)/SAP!$C$10)*'C&amp;B'!$D$13/SAP!$C$143)+L$26),"Not Possible")</f>
        <v>0</v>
      </c>
      <c r="M59" s="131" t="str">
        <f>IF(IF(M$39&lt;=$C59,M$26,(((M$39-$C59)/SAP!$C$10)*'C&amp;B'!$D$13/SAP!$C$143)+M$26)&lt;=SAP!$E$151,IF(M$39&lt;=$C59,M$26,(((M$39-$C59)/SAP!$C$10)*'C&amp;B'!$D$13/SAP!$C$143)+M$26),"Not Possible")</f>
        <v>Not Possible</v>
      </c>
      <c r="N59" s="131">
        <f>IF(IF(N$39&lt;=$C59,N$26,(((N$39-$C59)/SAP!$C$10)*'C&amp;B'!$D$13/SAP!$C$143)+N$26)&lt;=SAP!$E$151,IF(N$39&lt;=$C59,N$26,(((N$39-$C59)/SAP!$C$10)*'C&amp;B'!$D$13/SAP!$C$143)+N$26),"Not Possible")</f>
        <v>0</v>
      </c>
      <c r="O59" s="131" t="str">
        <f>IF(IF(O$39&lt;=$C59,O$26,(((O$39-$C59)/SAP!$C$10)*'C&amp;B'!$D$13/SAP!$C$143)+O$26)&lt;=SAP!$E$151,IF(O$39&lt;=$C59,O$26,(((O$39-$C59)/SAP!$C$10)*'C&amp;B'!$D$13/SAP!$C$143)+O$26),"Not Possible")</f>
        <v>Not Possible</v>
      </c>
      <c r="P59" s="131">
        <f>IF(IF(P$39&lt;=$C59,P$26,(((P$39-$C59)/SAP!$C$10)*'C&amp;B'!$D$13/SAP!$C$143)+P$26)&lt;=SAP!$E$151,IF(P$39&lt;=$C59,P$26,(((P$39-$C59)/SAP!$C$10)*'C&amp;B'!$D$13/SAP!$C$143)+P$26),"Not Possible")</f>
        <v>0</v>
      </c>
      <c r="Q59" s="131">
        <f>IF(IF(Q$39&lt;=$C59,Q$26,(((Q$39-$C59)/SAP!$C$10)*'C&amp;B'!$D$13/SAP!$C$143)+Q$26)&lt;=SAP!$E$151,IF(Q$39&lt;=$C59,Q$26,(((Q$39-$C59)/SAP!$C$10)*'C&amp;B'!$D$13/SAP!$C$143)+Q$26),"Not Possible")</f>
        <v>2.6072733939602921</v>
      </c>
      <c r="R59" s="131">
        <f>IF(IF(R$39&lt;=$C59,R$26,(((R$39-$C59)/SAP!$C$10)*'C&amp;B'!$D$13/SAP!$C$143)+R$26)&lt;=SAP!$E$151,IF(R$39&lt;=$C59,R$26,(((R$39-$C59)/SAP!$C$10)*'C&amp;B'!$D$13/SAP!$C$143)+R$26),"Not Possible")</f>
        <v>0</v>
      </c>
      <c r="S59" s="131">
        <f>IF(IF(S$39&lt;=$C59,S$26,(((S$39-$C59)/SAP!$C$10)*'C&amp;B'!$D$13/SAP!$C$143)+S$26)&lt;=SAP!$E$151,IF(S$39&lt;=$C59,S$26,(((S$39-$C59)/SAP!$C$10)*'C&amp;B'!$D$13/SAP!$C$143)+S$26),"Not Possible")</f>
        <v>0</v>
      </c>
      <c r="T59" s="131">
        <f>IF(IF(T$39&lt;=$C59,T$26,(((T$39-$C59)/SAP!$C$10)*'C&amp;B'!$D$13/SAP!$C$143)+T$26)&lt;=SAP!$E$151,IF(T$39&lt;=$C59,T$26,(((T$39-$C59)/SAP!$C$10)*'C&amp;B'!$D$13/SAP!$C$143)+T$26),"Not Possible")</f>
        <v>0</v>
      </c>
      <c r="V59" s="130" t="s">
        <v>610</v>
      </c>
      <c r="W59" s="82">
        <f>IF(D59=0,0,IF(D59&lt;4,'C&amp;B'!$E$316+(D59*'C&amp;B'!$E$317),D59*'C&amp;B'!$E$318))</f>
        <v>2672.9230769230771</v>
      </c>
      <c r="X59" s="82" t="e">
        <f>IF(E59=0,0,IF(E59&lt;4,'C&amp;B'!$E$316+(E59*'C&amp;B'!$E$317),E59*'C&amp;B'!$E$318))</f>
        <v>#VALUE!</v>
      </c>
      <c r="Y59" s="82">
        <f>IF(F59=0,0,IF(F59&lt;4,'C&amp;B'!$E$316+(F59*'C&amp;B'!$E$317),F59*'C&amp;B'!$E$318))</f>
        <v>0</v>
      </c>
      <c r="Z59" s="82" t="e">
        <f>IF(G59=0,0,IF(G59&lt;4,'C&amp;B'!$E$316+(G59*'C&amp;B'!$E$317),G59*'C&amp;B'!$E$318))</f>
        <v>#VALUE!</v>
      </c>
      <c r="AA59" s="82">
        <f>IF(H59=0,0,IF(H59&lt;4,'C&amp;B'!$E$316+(H59*'C&amp;B'!$E$317),H59*'C&amp;B'!$E$318))</f>
        <v>0</v>
      </c>
      <c r="AB59" s="82" t="e">
        <f>IF(I59=0,0,IF(I59&lt;4,'C&amp;B'!$E$316+(I59*'C&amp;B'!$E$317),I59*'C&amp;B'!$E$318))</f>
        <v>#VALUE!</v>
      </c>
      <c r="AC59" s="82">
        <f>IF(J59=0,0,IF(J59&lt;4,'C&amp;B'!$E$316+(J59*'C&amp;B'!$E$317),J59*'C&amp;B'!$E$318))</f>
        <v>0</v>
      </c>
      <c r="AD59" s="82" t="e">
        <f>IF(K59=0,0,IF(K59&lt;4,'C&amp;B'!$E$316+(K59*'C&amp;B'!$E$317),K59*'C&amp;B'!$E$318))</f>
        <v>#VALUE!</v>
      </c>
      <c r="AE59" s="82">
        <f>IF(L59=0,0,IF(L59&lt;4,'C&amp;B'!$E$316+(L59*'C&amp;B'!$E$317),L59*'C&amp;B'!$E$318))</f>
        <v>0</v>
      </c>
      <c r="AF59" s="82" t="e">
        <f>IF(M59=0,0,IF(M59&lt;4,'C&amp;B'!$E$316+(M59*'C&amp;B'!$E$317),M59*'C&amp;B'!$E$318))</f>
        <v>#VALUE!</v>
      </c>
      <c r="AG59" s="82">
        <f>IF(N59=0,0,IF(N59&lt;4,'C&amp;B'!$E$316+(N59*'C&amp;B'!$E$317),N59*'C&amp;B'!$E$318))</f>
        <v>0</v>
      </c>
      <c r="AH59" s="82" t="e">
        <f>IF(O59=0,0,IF(O59&lt;4,'C&amp;B'!$E$316+(O59*'C&amp;B'!$E$317),O59*'C&amp;B'!$E$318))</f>
        <v>#VALUE!</v>
      </c>
      <c r="AI59" s="82">
        <f>IF(P59=0,0,IF(P59&lt;4,'C&amp;B'!$E$316+(P59*'C&amp;B'!$E$317),P59*'C&amp;B'!$E$318))</f>
        <v>0</v>
      </c>
      <c r="AJ59" s="82">
        <f>IF(Q59=0,0,IF(Q59&lt;4,'C&amp;B'!$E$316+(Q59*'C&amp;B'!$E$317),Q59*'C&amp;B'!$E$318))</f>
        <v>2664.3640363761751</v>
      </c>
      <c r="AK59" s="82">
        <f>IF(R59=0,0,IF(R59&lt;4,'C&amp;B'!$E$316+(R59*'C&amp;B'!$E$317),R59*'C&amp;B'!$E$318))</f>
        <v>0</v>
      </c>
      <c r="AL59" s="82">
        <f>IF(S59=0,0,IF(S59&lt;4,'C&amp;B'!$E$316+(S59*'C&amp;B'!$E$317),S59*'C&amp;B'!$E$318))</f>
        <v>0</v>
      </c>
      <c r="AM59" s="82">
        <f>IF(T59=0,0,IF(T59&lt;4,'C&amp;B'!$E$316+(T59*'C&amp;B'!$E$317),T59*'C&amp;B'!$E$318))</f>
        <v>0</v>
      </c>
      <c r="AO59" s="130" t="s">
        <v>610</v>
      </c>
      <c r="AP59" s="82">
        <f t="shared" ref="AP59:AP64" si="27">AP$27-AP$26+W59</f>
        <v>33157.923076923078</v>
      </c>
      <c r="AQ59" s="82" t="e">
        <f t="shared" si="26"/>
        <v>#VALUE!</v>
      </c>
      <c r="AR59" s="82">
        <f t="shared" si="26"/>
        <v>24370</v>
      </c>
      <c r="AS59" s="82" t="e">
        <f t="shared" si="26"/>
        <v>#VALUE!</v>
      </c>
      <c r="AT59" s="82">
        <f t="shared" si="26"/>
        <v>24083</v>
      </c>
      <c r="AU59" s="82" t="e">
        <f t="shared" si="26"/>
        <v>#VALUE!</v>
      </c>
      <c r="AV59" s="82">
        <f t="shared" si="26"/>
        <v>25438</v>
      </c>
      <c r="AW59" s="82" t="e">
        <f t="shared" si="26"/>
        <v>#VALUE!</v>
      </c>
      <c r="AX59" s="82">
        <f t="shared" si="26"/>
        <v>25438</v>
      </c>
      <c r="AY59" s="82" t="e">
        <f t="shared" si="26"/>
        <v>#VALUE!</v>
      </c>
      <c r="AZ59" s="82">
        <f t="shared" si="26"/>
        <v>25438</v>
      </c>
      <c r="BA59" s="82" t="e">
        <f t="shared" si="26"/>
        <v>#VALUE!</v>
      </c>
      <c r="BB59" s="82">
        <f t="shared" si="26"/>
        <v>25438</v>
      </c>
      <c r="BC59" s="82">
        <f t="shared" si="26"/>
        <v>33699.364036376173</v>
      </c>
      <c r="BD59" s="82">
        <f t="shared" si="26"/>
        <v>25713</v>
      </c>
      <c r="BE59" s="82">
        <f t="shared" si="26"/>
        <v>25530</v>
      </c>
      <c r="BF59" s="82">
        <f t="shared" si="26"/>
        <v>24370</v>
      </c>
    </row>
    <row r="60" spans="2:58" s="4" customFormat="1">
      <c r="B60" s="130" t="s">
        <v>611</v>
      </c>
      <c r="C60" s="127">
        <f>SAP!D161</f>
        <v>8.6464234138942029</v>
      </c>
      <c r="D60" s="131">
        <f>IF(IF(D$39&lt;=$C60,D$26,(((D$39-$C60)/SAP!$C$10)*'C&amp;B'!$D$13/SAP!$C$143)+D$26)&lt;=SAP!$E$151,IF(D$39&lt;=$C60,D$26,(((D$39-$C60)/SAP!$C$10)*'C&amp;B'!$D$13/SAP!$C$143)+D$26),"Not Possible")</f>
        <v>3.0072447357174394</v>
      </c>
      <c r="E60" s="131" t="str">
        <f>IF(IF(E$39&lt;=$C60,E$26,(((E$39-$C60)/SAP!$C$10)*'C&amp;B'!$D$13/SAP!$C$143)+E$26)&lt;=SAP!$E$151,IF(E$39&lt;=$C60,E$26,(((E$39-$C60)/SAP!$C$10)*'C&amp;B'!$D$13/SAP!$C$143)+E$26),"Not Possible")</f>
        <v>Not Possible</v>
      </c>
      <c r="F60" s="131">
        <f>IF(IF(F$39&lt;=$C60,F$26,(((F$39-$C60)/SAP!$C$10)*'C&amp;B'!$D$13/SAP!$C$143)+F$26)&lt;=SAP!$E$151,IF(F$39&lt;=$C60,F$26,(((F$39-$C60)/SAP!$C$10)*'C&amp;B'!$D$13/SAP!$C$143)+F$26),"Not Possible")</f>
        <v>0</v>
      </c>
      <c r="G60" s="131" t="str">
        <f>IF(IF(G$39&lt;=$C60,G$26,(((G$39-$C60)/SAP!$C$10)*'C&amp;B'!$D$13/SAP!$C$143)+G$26)&lt;=SAP!$E$151,IF(G$39&lt;=$C60,G$26,(((G$39-$C60)/SAP!$C$10)*'C&amp;B'!$D$13/SAP!$C$143)+G$26),"Not Possible")</f>
        <v>Not Possible</v>
      </c>
      <c r="H60" s="131">
        <f>IF(IF(H$39&lt;=$C60,H$26,(((H$39-$C60)/SAP!$C$10)*'C&amp;B'!$D$13/SAP!$C$143)+H$26)&lt;=SAP!$E$151,IF(H$39&lt;=$C60,H$26,(((H$39-$C60)/SAP!$C$10)*'C&amp;B'!$D$13/SAP!$C$143)+H$26),"Not Possible")</f>
        <v>0</v>
      </c>
      <c r="I60" s="131" t="str">
        <f>IF(IF(I$39&lt;=$C60,I$26,(((I$39-$C60)/SAP!$C$10)*'C&amp;B'!$D$13/SAP!$C$143)+I$26)&lt;=SAP!$E$151,IF(I$39&lt;=$C60,I$26,(((I$39-$C60)/SAP!$C$10)*'C&amp;B'!$D$13/SAP!$C$143)+I$26),"Not Possible")</f>
        <v>Not Possible</v>
      </c>
      <c r="J60" s="131">
        <f>IF(IF(J$39&lt;=$C60,J$26,(((J$39-$C60)/SAP!$C$10)*'C&amp;B'!$D$13/SAP!$C$143)+J$26)&lt;=SAP!$E$151,IF(J$39&lt;=$C60,J$26,(((J$39-$C60)/SAP!$C$10)*'C&amp;B'!$D$13/SAP!$C$143)+J$26),"Not Possible")</f>
        <v>0</v>
      </c>
      <c r="K60" s="131" t="str">
        <f>IF(IF(K$39&lt;=$C60,K$26,(((K$39-$C60)/SAP!$C$10)*'C&amp;B'!$D$13/SAP!$C$143)+K$26)&lt;=SAP!$E$151,IF(K$39&lt;=$C60,K$26,(((K$39-$C60)/SAP!$C$10)*'C&amp;B'!$D$13/SAP!$C$143)+K$26),"Not Possible")</f>
        <v>Not Possible</v>
      </c>
      <c r="L60" s="131">
        <f>IF(IF(L$39&lt;=$C60,L$26,(((L$39-$C60)/SAP!$C$10)*'C&amp;B'!$D$13/SAP!$C$143)+L$26)&lt;=SAP!$E$151,IF(L$39&lt;=$C60,L$26,(((L$39-$C60)/SAP!$C$10)*'C&amp;B'!$D$13/SAP!$C$143)+L$26),"Not Possible")</f>
        <v>0</v>
      </c>
      <c r="M60" s="131" t="str">
        <f>IF(IF(M$39&lt;=$C60,M$26,(((M$39-$C60)/SAP!$C$10)*'C&amp;B'!$D$13/SAP!$C$143)+M$26)&lt;=SAP!$E$151,IF(M$39&lt;=$C60,M$26,(((M$39-$C60)/SAP!$C$10)*'C&amp;B'!$D$13/SAP!$C$143)+M$26),"Not Possible")</f>
        <v>Not Possible</v>
      </c>
      <c r="N60" s="131">
        <f>IF(IF(N$39&lt;=$C60,N$26,(((N$39-$C60)/SAP!$C$10)*'C&amp;B'!$D$13/SAP!$C$143)+N$26)&lt;=SAP!$E$151,IF(N$39&lt;=$C60,N$26,(((N$39-$C60)/SAP!$C$10)*'C&amp;B'!$D$13/SAP!$C$143)+N$26),"Not Possible")</f>
        <v>0</v>
      </c>
      <c r="O60" s="131" t="str">
        <f>IF(IF(O$39&lt;=$C60,O$26,(((O$39-$C60)/SAP!$C$10)*'C&amp;B'!$D$13/SAP!$C$143)+O$26)&lt;=SAP!$E$151,IF(O$39&lt;=$C60,O$26,(((O$39-$C60)/SAP!$C$10)*'C&amp;B'!$D$13/SAP!$C$143)+O$26),"Not Possible")</f>
        <v>Not Possible</v>
      </c>
      <c r="P60" s="131">
        <f>IF(IF(P$39&lt;=$C60,P$26,(((P$39-$C60)/SAP!$C$10)*'C&amp;B'!$D$13/SAP!$C$143)+P$26)&lt;=SAP!$E$151,IF(P$39&lt;=$C60,P$26,(((P$39-$C60)/SAP!$C$10)*'C&amp;B'!$D$13/SAP!$C$143)+P$26),"Not Possible")</f>
        <v>0</v>
      </c>
      <c r="Q60" s="131" t="str">
        <f>IF(IF(Q$39&lt;=$C60,Q$26,(((Q$39-$C60)/SAP!$C$10)*'C&amp;B'!$D$13/SAP!$C$143)+Q$26)&lt;=SAP!$E$151,IF(Q$39&lt;=$C60,Q$26,(((Q$39-$C60)/SAP!$C$10)*'C&amp;B'!$D$13/SAP!$C$143)+Q$26),"Not Possible")</f>
        <v>Not Possible</v>
      </c>
      <c r="R60" s="131">
        <f>IF(IF(R$39&lt;=$C60,R$26,(((R$39-$C60)/SAP!$C$10)*'C&amp;B'!$D$13/SAP!$C$143)+R$26)&lt;=SAP!$E$151,IF(R$39&lt;=$C60,R$26,(((R$39-$C60)/SAP!$C$10)*'C&amp;B'!$D$13/SAP!$C$143)+R$26),"Not Possible")</f>
        <v>0</v>
      </c>
      <c r="S60" s="131">
        <f>IF(IF(S$39&lt;=$C60,S$26,(((S$39-$C60)/SAP!$C$10)*'C&amp;B'!$D$13/SAP!$C$143)+S$26)&lt;=SAP!$E$151,IF(S$39&lt;=$C60,S$26,(((S$39-$C60)/SAP!$C$10)*'C&amp;B'!$D$13/SAP!$C$143)+S$26),"Not Possible")</f>
        <v>0</v>
      </c>
      <c r="T60" s="131">
        <f>IF(IF(T$39&lt;=$C60,T$26,(((T$39-$C60)/SAP!$C$10)*'C&amp;B'!$D$13/SAP!$C$143)+T$26)&lt;=SAP!$E$151,IF(T$39&lt;=$C60,T$26,(((T$39-$C60)/SAP!$C$10)*'C&amp;B'!$D$13/SAP!$C$143)+T$26),"Not Possible")</f>
        <v>0</v>
      </c>
      <c r="V60" s="130" t="s">
        <v>611</v>
      </c>
      <c r="W60" s="82">
        <f>IF(D60=0,0,IF(D60&lt;4,'C&amp;B'!$E$316+(D60*'C&amp;B'!$E$317),D60*'C&amp;B'!$E$318))</f>
        <v>2904.3468414304634</v>
      </c>
      <c r="X60" s="82" t="e">
        <f>IF(E60=0,0,IF(E60&lt;4,'C&amp;B'!$E$316+(E60*'C&amp;B'!$E$317),E60*'C&amp;B'!$E$318))</f>
        <v>#VALUE!</v>
      </c>
      <c r="Y60" s="82">
        <f>IF(F60=0,0,IF(F60&lt;4,'C&amp;B'!$E$316+(F60*'C&amp;B'!$E$317),F60*'C&amp;B'!$E$318))</f>
        <v>0</v>
      </c>
      <c r="Z60" s="82" t="e">
        <f>IF(G60=0,0,IF(G60&lt;4,'C&amp;B'!$E$316+(G60*'C&amp;B'!$E$317),G60*'C&amp;B'!$E$318))</f>
        <v>#VALUE!</v>
      </c>
      <c r="AA60" s="82">
        <f>IF(H60=0,0,IF(H60&lt;4,'C&amp;B'!$E$316+(H60*'C&amp;B'!$E$317),H60*'C&amp;B'!$E$318))</f>
        <v>0</v>
      </c>
      <c r="AB60" s="82" t="e">
        <f>IF(I60=0,0,IF(I60&lt;4,'C&amp;B'!$E$316+(I60*'C&amp;B'!$E$317),I60*'C&amp;B'!$E$318))</f>
        <v>#VALUE!</v>
      </c>
      <c r="AC60" s="82">
        <f>IF(J60=0,0,IF(J60&lt;4,'C&amp;B'!$E$316+(J60*'C&amp;B'!$E$317),J60*'C&amp;B'!$E$318))</f>
        <v>0</v>
      </c>
      <c r="AD60" s="82" t="e">
        <f>IF(K60=0,0,IF(K60&lt;4,'C&amp;B'!$E$316+(K60*'C&amp;B'!$E$317),K60*'C&amp;B'!$E$318))</f>
        <v>#VALUE!</v>
      </c>
      <c r="AE60" s="82">
        <f>IF(L60=0,0,IF(L60&lt;4,'C&amp;B'!$E$316+(L60*'C&amp;B'!$E$317),L60*'C&amp;B'!$E$318))</f>
        <v>0</v>
      </c>
      <c r="AF60" s="82" t="e">
        <f>IF(M60=0,0,IF(M60&lt;4,'C&amp;B'!$E$316+(M60*'C&amp;B'!$E$317),M60*'C&amp;B'!$E$318))</f>
        <v>#VALUE!</v>
      </c>
      <c r="AG60" s="82">
        <f>IF(N60=0,0,IF(N60&lt;4,'C&amp;B'!$E$316+(N60*'C&amp;B'!$E$317),N60*'C&amp;B'!$E$318))</f>
        <v>0</v>
      </c>
      <c r="AH60" s="82" t="e">
        <f>IF(O60=0,0,IF(O60&lt;4,'C&amp;B'!$E$316+(O60*'C&amp;B'!$E$317),O60*'C&amp;B'!$E$318))</f>
        <v>#VALUE!</v>
      </c>
      <c r="AI60" s="82">
        <f>IF(P60=0,0,IF(P60&lt;4,'C&amp;B'!$E$316+(P60*'C&amp;B'!$E$317),P60*'C&amp;B'!$E$318))</f>
        <v>0</v>
      </c>
      <c r="AJ60" s="82" t="e">
        <f>IF(Q60=0,0,IF(Q60&lt;4,'C&amp;B'!$E$316+(Q60*'C&amp;B'!$E$317),Q60*'C&amp;B'!$E$318))</f>
        <v>#VALUE!</v>
      </c>
      <c r="AK60" s="82">
        <f>IF(R60=0,0,IF(R60&lt;4,'C&amp;B'!$E$316+(R60*'C&amp;B'!$E$317),R60*'C&amp;B'!$E$318))</f>
        <v>0</v>
      </c>
      <c r="AL60" s="82">
        <f>IF(S60=0,0,IF(S60&lt;4,'C&amp;B'!$E$316+(S60*'C&amp;B'!$E$317),S60*'C&amp;B'!$E$318))</f>
        <v>0</v>
      </c>
      <c r="AM60" s="82">
        <f>IF(T60=0,0,IF(T60&lt;4,'C&amp;B'!$E$316+(T60*'C&amp;B'!$E$317),T60*'C&amp;B'!$E$318))</f>
        <v>0</v>
      </c>
      <c r="AO60" s="130" t="s">
        <v>611</v>
      </c>
      <c r="AP60" s="82">
        <f t="shared" si="27"/>
        <v>33389.346841430466</v>
      </c>
      <c r="AQ60" s="82" t="e">
        <f t="shared" si="26"/>
        <v>#VALUE!</v>
      </c>
      <c r="AR60" s="82">
        <f t="shared" si="26"/>
        <v>24370</v>
      </c>
      <c r="AS60" s="82" t="e">
        <f t="shared" si="26"/>
        <v>#VALUE!</v>
      </c>
      <c r="AT60" s="82">
        <f t="shared" si="26"/>
        <v>24083</v>
      </c>
      <c r="AU60" s="82" t="e">
        <f t="shared" si="26"/>
        <v>#VALUE!</v>
      </c>
      <c r="AV60" s="82">
        <f t="shared" si="26"/>
        <v>25438</v>
      </c>
      <c r="AW60" s="82" t="e">
        <f t="shared" si="26"/>
        <v>#VALUE!</v>
      </c>
      <c r="AX60" s="82">
        <f t="shared" si="26"/>
        <v>25438</v>
      </c>
      <c r="AY60" s="82" t="e">
        <f t="shared" si="26"/>
        <v>#VALUE!</v>
      </c>
      <c r="AZ60" s="82">
        <f t="shared" si="26"/>
        <v>25438</v>
      </c>
      <c r="BA60" s="82" t="e">
        <f t="shared" si="26"/>
        <v>#VALUE!</v>
      </c>
      <c r="BB60" s="82">
        <f t="shared" si="26"/>
        <v>25438</v>
      </c>
      <c r="BC60" s="82" t="e">
        <f t="shared" si="26"/>
        <v>#VALUE!</v>
      </c>
      <c r="BD60" s="82">
        <f t="shared" si="26"/>
        <v>25713</v>
      </c>
      <c r="BE60" s="82">
        <f t="shared" si="26"/>
        <v>25530</v>
      </c>
      <c r="BF60" s="82">
        <f t="shared" si="26"/>
        <v>24370</v>
      </c>
    </row>
    <row r="61" spans="2:58" s="4" customFormat="1">
      <c r="B61" s="130" t="s">
        <v>612</v>
      </c>
      <c r="C61" s="127">
        <f>SAP!D162</f>
        <v>7.5656204871574273</v>
      </c>
      <c r="D61" s="131" t="str">
        <f>IF(IF(D$39&lt;=$C61,D$26,(((D$39-$C61)/SAP!$C$10)*'C&amp;B'!$D$13/SAP!$C$143)+D$26)&lt;=SAP!$E$151,IF(D$39&lt;=$C61,D$26,(((D$39-$C61)/SAP!$C$10)*'C&amp;B'!$D$13/SAP!$C$143)+D$26),"Not Possible")</f>
        <v>Not Possible</v>
      </c>
      <c r="E61" s="131" t="str">
        <f>IF(IF(E$39&lt;=$C61,E$26,(((E$39-$C61)/SAP!$C$10)*'C&amp;B'!$D$13/SAP!$C$143)+E$26)&lt;=SAP!$E$151,IF(E$39&lt;=$C61,E$26,(((E$39-$C61)/SAP!$C$10)*'C&amp;B'!$D$13/SAP!$C$143)+E$26),"Not Possible")</f>
        <v>Not Possible</v>
      </c>
      <c r="F61" s="131">
        <f>IF(IF(F$39&lt;=$C61,F$26,(((F$39-$C61)/SAP!$C$10)*'C&amp;B'!$D$13/SAP!$C$143)+F$26)&lt;=SAP!$E$151,IF(F$39&lt;=$C61,F$26,(((F$39-$C61)/SAP!$C$10)*'C&amp;B'!$D$13/SAP!$C$143)+F$26),"Not Possible")</f>
        <v>0</v>
      </c>
      <c r="G61" s="131" t="str">
        <f>IF(IF(G$39&lt;=$C61,G$26,(((G$39-$C61)/SAP!$C$10)*'C&amp;B'!$D$13/SAP!$C$143)+G$26)&lt;=SAP!$E$151,IF(G$39&lt;=$C61,G$26,(((G$39-$C61)/SAP!$C$10)*'C&amp;B'!$D$13/SAP!$C$143)+G$26),"Not Possible")</f>
        <v>Not Possible</v>
      </c>
      <c r="H61" s="131">
        <f>IF(IF(H$39&lt;=$C61,H$26,(((H$39-$C61)/SAP!$C$10)*'C&amp;B'!$D$13/SAP!$C$143)+H$26)&lt;=SAP!$E$151,IF(H$39&lt;=$C61,H$26,(((H$39-$C61)/SAP!$C$10)*'C&amp;B'!$D$13/SAP!$C$143)+H$26),"Not Possible")</f>
        <v>0</v>
      </c>
      <c r="I61" s="131" t="str">
        <f>IF(IF(I$39&lt;=$C61,I$26,(((I$39-$C61)/SAP!$C$10)*'C&amp;B'!$D$13/SAP!$C$143)+I$26)&lt;=SAP!$E$151,IF(I$39&lt;=$C61,I$26,(((I$39-$C61)/SAP!$C$10)*'C&amp;B'!$D$13/SAP!$C$143)+I$26),"Not Possible")</f>
        <v>Not Possible</v>
      </c>
      <c r="J61" s="131">
        <f>IF(IF(J$39&lt;=$C61,J$26,(((J$39-$C61)/SAP!$C$10)*'C&amp;B'!$D$13/SAP!$C$143)+J$26)&lt;=SAP!$E$151,IF(J$39&lt;=$C61,J$26,(((J$39-$C61)/SAP!$C$10)*'C&amp;B'!$D$13/SAP!$C$143)+J$26),"Not Possible")</f>
        <v>0</v>
      </c>
      <c r="K61" s="131" t="str">
        <f>IF(IF(K$39&lt;=$C61,K$26,(((K$39-$C61)/SAP!$C$10)*'C&amp;B'!$D$13/SAP!$C$143)+K$26)&lt;=SAP!$E$151,IF(K$39&lt;=$C61,K$26,(((K$39-$C61)/SAP!$C$10)*'C&amp;B'!$D$13/SAP!$C$143)+K$26),"Not Possible")</f>
        <v>Not Possible</v>
      </c>
      <c r="L61" s="131">
        <f>IF(IF(L$39&lt;=$C61,L$26,(((L$39-$C61)/SAP!$C$10)*'C&amp;B'!$D$13/SAP!$C$143)+L$26)&lt;=SAP!$E$151,IF(L$39&lt;=$C61,L$26,(((L$39-$C61)/SAP!$C$10)*'C&amp;B'!$D$13/SAP!$C$143)+L$26),"Not Possible")</f>
        <v>0</v>
      </c>
      <c r="M61" s="131" t="str">
        <f>IF(IF(M$39&lt;=$C61,M$26,(((M$39-$C61)/SAP!$C$10)*'C&amp;B'!$D$13/SAP!$C$143)+M$26)&lt;=SAP!$E$151,IF(M$39&lt;=$C61,M$26,(((M$39-$C61)/SAP!$C$10)*'C&amp;B'!$D$13/SAP!$C$143)+M$26),"Not Possible")</f>
        <v>Not Possible</v>
      </c>
      <c r="N61" s="131">
        <f>IF(IF(N$39&lt;=$C61,N$26,(((N$39-$C61)/SAP!$C$10)*'C&amp;B'!$D$13/SAP!$C$143)+N$26)&lt;=SAP!$E$151,IF(N$39&lt;=$C61,N$26,(((N$39-$C61)/SAP!$C$10)*'C&amp;B'!$D$13/SAP!$C$143)+N$26),"Not Possible")</f>
        <v>0</v>
      </c>
      <c r="O61" s="131" t="str">
        <f>IF(IF(O$39&lt;=$C61,O$26,(((O$39-$C61)/SAP!$C$10)*'C&amp;B'!$D$13/SAP!$C$143)+O$26)&lt;=SAP!$E$151,IF(O$39&lt;=$C61,O$26,(((O$39-$C61)/SAP!$C$10)*'C&amp;B'!$D$13/SAP!$C$143)+O$26),"Not Possible")</f>
        <v>Not Possible</v>
      </c>
      <c r="P61" s="131">
        <f>IF(IF(P$39&lt;=$C61,P$26,(((P$39-$C61)/SAP!$C$10)*'C&amp;B'!$D$13/SAP!$C$143)+P$26)&lt;=SAP!$E$151,IF(P$39&lt;=$C61,P$26,(((P$39-$C61)/SAP!$C$10)*'C&amp;B'!$D$13/SAP!$C$143)+P$26),"Not Possible")</f>
        <v>0</v>
      </c>
      <c r="Q61" s="131" t="str">
        <f>IF(IF(Q$39&lt;=$C61,Q$26,(((Q$39-$C61)/SAP!$C$10)*'C&amp;B'!$D$13/SAP!$C$143)+Q$26)&lt;=SAP!$E$151,IF(Q$39&lt;=$C61,Q$26,(((Q$39-$C61)/SAP!$C$10)*'C&amp;B'!$D$13/SAP!$C$143)+Q$26),"Not Possible")</f>
        <v>Not Possible</v>
      </c>
      <c r="R61" s="131">
        <f>IF(IF(R$39&lt;=$C61,R$26,(((R$39-$C61)/SAP!$C$10)*'C&amp;B'!$D$13/SAP!$C$143)+R$26)&lt;=SAP!$E$151,IF(R$39&lt;=$C61,R$26,(((R$39-$C61)/SAP!$C$10)*'C&amp;B'!$D$13/SAP!$C$143)+R$26),"Not Possible")</f>
        <v>0</v>
      </c>
      <c r="S61" s="131">
        <f>IF(IF(S$39&lt;=$C61,S$26,(((S$39-$C61)/SAP!$C$10)*'C&amp;B'!$D$13/SAP!$C$143)+S$26)&lt;=SAP!$E$151,IF(S$39&lt;=$C61,S$26,(((S$39-$C61)/SAP!$C$10)*'C&amp;B'!$D$13/SAP!$C$143)+S$26),"Not Possible")</f>
        <v>0</v>
      </c>
      <c r="T61" s="131">
        <f>IF(IF(T$39&lt;=$C61,T$26,(((T$39-$C61)/SAP!$C$10)*'C&amp;B'!$D$13/SAP!$C$143)+T$26)&lt;=SAP!$E$151,IF(T$39&lt;=$C61,T$26,(((T$39-$C61)/SAP!$C$10)*'C&amp;B'!$D$13/SAP!$C$143)+T$26),"Not Possible")</f>
        <v>0</v>
      </c>
      <c r="V61" s="130" t="s">
        <v>612</v>
      </c>
      <c r="W61" s="82" t="e">
        <f>IF(D61=0,0,IF(D61&lt;4,'C&amp;B'!$E$316+(D61*'C&amp;B'!$E$317),D61*'C&amp;B'!$E$318))</f>
        <v>#VALUE!</v>
      </c>
      <c r="X61" s="82" t="e">
        <f>IF(E61=0,0,IF(E61&lt;4,'C&amp;B'!$E$316+(E61*'C&amp;B'!$E$317),E61*'C&amp;B'!$E$318))</f>
        <v>#VALUE!</v>
      </c>
      <c r="Y61" s="82">
        <f>IF(F61=0,0,IF(F61&lt;4,'C&amp;B'!$E$316+(F61*'C&amp;B'!$E$317),F61*'C&amp;B'!$E$318))</f>
        <v>0</v>
      </c>
      <c r="Z61" s="82" t="e">
        <f>IF(G61=0,0,IF(G61&lt;4,'C&amp;B'!$E$316+(G61*'C&amp;B'!$E$317),G61*'C&amp;B'!$E$318))</f>
        <v>#VALUE!</v>
      </c>
      <c r="AA61" s="82">
        <f>IF(H61=0,0,IF(H61&lt;4,'C&amp;B'!$E$316+(H61*'C&amp;B'!$E$317),H61*'C&amp;B'!$E$318))</f>
        <v>0</v>
      </c>
      <c r="AB61" s="82" t="e">
        <f>IF(I61=0,0,IF(I61&lt;4,'C&amp;B'!$E$316+(I61*'C&amp;B'!$E$317),I61*'C&amp;B'!$E$318))</f>
        <v>#VALUE!</v>
      </c>
      <c r="AC61" s="82">
        <f>IF(J61=0,0,IF(J61&lt;4,'C&amp;B'!$E$316+(J61*'C&amp;B'!$E$317),J61*'C&amp;B'!$E$318))</f>
        <v>0</v>
      </c>
      <c r="AD61" s="82" t="e">
        <f>IF(K61=0,0,IF(K61&lt;4,'C&amp;B'!$E$316+(K61*'C&amp;B'!$E$317),K61*'C&amp;B'!$E$318))</f>
        <v>#VALUE!</v>
      </c>
      <c r="AE61" s="82">
        <f>IF(L61=0,0,IF(L61&lt;4,'C&amp;B'!$E$316+(L61*'C&amp;B'!$E$317),L61*'C&amp;B'!$E$318))</f>
        <v>0</v>
      </c>
      <c r="AF61" s="82" t="e">
        <f>IF(M61=0,0,IF(M61&lt;4,'C&amp;B'!$E$316+(M61*'C&amp;B'!$E$317),M61*'C&amp;B'!$E$318))</f>
        <v>#VALUE!</v>
      </c>
      <c r="AG61" s="82">
        <f>IF(N61=0,0,IF(N61&lt;4,'C&amp;B'!$E$316+(N61*'C&amp;B'!$E$317),N61*'C&amp;B'!$E$318))</f>
        <v>0</v>
      </c>
      <c r="AH61" s="82" t="e">
        <f>IF(O61=0,0,IF(O61&lt;4,'C&amp;B'!$E$316+(O61*'C&amp;B'!$E$317),O61*'C&amp;B'!$E$318))</f>
        <v>#VALUE!</v>
      </c>
      <c r="AI61" s="82">
        <f>IF(P61=0,0,IF(P61&lt;4,'C&amp;B'!$E$316+(P61*'C&amp;B'!$E$317),P61*'C&amp;B'!$E$318))</f>
        <v>0</v>
      </c>
      <c r="AJ61" s="82" t="e">
        <f>IF(Q61=0,0,IF(Q61&lt;4,'C&amp;B'!$E$316+(Q61*'C&amp;B'!$E$317),Q61*'C&amp;B'!$E$318))</f>
        <v>#VALUE!</v>
      </c>
      <c r="AK61" s="82">
        <f>IF(R61=0,0,IF(R61&lt;4,'C&amp;B'!$E$316+(R61*'C&amp;B'!$E$317),R61*'C&amp;B'!$E$318))</f>
        <v>0</v>
      </c>
      <c r="AL61" s="82">
        <f>IF(S61=0,0,IF(S61&lt;4,'C&amp;B'!$E$316+(S61*'C&amp;B'!$E$317),S61*'C&amp;B'!$E$318))</f>
        <v>0</v>
      </c>
      <c r="AM61" s="82">
        <f>IF(T61=0,0,IF(T61&lt;4,'C&amp;B'!$E$316+(T61*'C&amp;B'!$E$317),T61*'C&amp;B'!$E$318))</f>
        <v>0</v>
      </c>
      <c r="AO61" s="130" t="s">
        <v>612</v>
      </c>
      <c r="AP61" s="82" t="e">
        <f t="shared" si="27"/>
        <v>#VALUE!</v>
      </c>
      <c r="AQ61" s="82" t="e">
        <f t="shared" si="26"/>
        <v>#VALUE!</v>
      </c>
      <c r="AR61" s="82">
        <f t="shared" si="26"/>
        <v>24370</v>
      </c>
      <c r="AS61" s="82" t="e">
        <f t="shared" si="26"/>
        <v>#VALUE!</v>
      </c>
      <c r="AT61" s="82">
        <f t="shared" si="26"/>
        <v>24083</v>
      </c>
      <c r="AU61" s="82" t="e">
        <f t="shared" si="26"/>
        <v>#VALUE!</v>
      </c>
      <c r="AV61" s="82">
        <f t="shared" si="26"/>
        <v>25438</v>
      </c>
      <c r="AW61" s="82" t="e">
        <f t="shared" si="26"/>
        <v>#VALUE!</v>
      </c>
      <c r="AX61" s="82">
        <f t="shared" si="26"/>
        <v>25438</v>
      </c>
      <c r="AY61" s="82" t="e">
        <f t="shared" si="26"/>
        <v>#VALUE!</v>
      </c>
      <c r="AZ61" s="82">
        <f t="shared" si="26"/>
        <v>25438</v>
      </c>
      <c r="BA61" s="82" t="e">
        <f t="shared" si="26"/>
        <v>#VALUE!</v>
      </c>
      <c r="BB61" s="82">
        <f t="shared" si="26"/>
        <v>25438</v>
      </c>
      <c r="BC61" s="82" t="e">
        <f t="shared" si="26"/>
        <v>#VALUE!</v>
      </c>
      <c r="BD61" s="82">
        <f t="shared" si="26"/>
        <v>25713</v>
      </c>
      <c r="BE61" s="82">
        <f t="shared" si="26"/>
        <v>25530</v>
      </c>
      <c r="BF61" s="82">
        <f t="shared" si="26"/>
        <v>24370</v>
      </c>
    </row>
    <row r="62" spans="2:58" s="4" customFormat="1">
      <c r="B62" s="130" t="s">
        <v>613</v>
      </c>
      <c r="C62" s="127">
        <f>SAP!D163</f>
        <v>6.4848175604206526</v>
      </c>
      <c r="D62" s="131" t="str">
        <f>IF(IF(D$39&lt;=$C62,D$26,(((D$39-$C62)/SAP!$C$10)*'C&amp;B'!$D$13/SAP!$C$143)+D$26)&lt;=SAP!$E$151,IF(D$39&lt;=$C62,D$26,(((D$39-$C62)/SAP!$C$10)*'C&amp;B'!$D$13/SAP!$C$143)+D$26),"Not Possible")</f>
        <v>Not Possible</v>
      </c>
      <c r="E62" s="131" t="str">
        <f>IF(IF(E$39&lt;=$C62,E$26,(((E$39-$C62)/SAP!$C$10)*'C&amp;B'!$D$13/SAP!$C$143)+E$26)&lt;=SAP!$E$151,IF(E$39&lt;=$C62,E$26,(((E$39-$C62)/SAP!$C$10)*'C&amp;B'!$D$13/SAP!$C$143)+E$26),"Not Possible")</f>
        <v>Not Possible</v>
      </c>
      <c r="F62" s="131">
        <f>IF(IF(F$39&lt;=$C62,F$26,(((F$39-$C62)/SAP!$C$10)*'C&amp;B'!$D$13/SAP!$C$143)+F$26)&lt;=SAP!$E$151,IF(F$39&lt;=$C62,F$26,(((F$39-$C62)/SAP!$C$10)*'C&amp;B'!$D$13/SAP!$C$143)+F$26),"Not Possible")</f>
        <v>0</v>
      </c>
      <c r="G62" s="131" t="str">
        <f>IF(IF(G$39&lt;=$C62,G$26,(((G$39-$C62)/SAP!$C$10)*'C&amp;B'!$D$13/SAP!$C$143)+G$26)&lt;=SAP!$E$151,IF(G$39&lt;=$C62,G$26,(((G$39-$C62)/SAP!$C$10)*'C&amp;B'!$D$13/SAP!$C$143)+G$26),"Not Possible")</f>
        <v>Not Possible</v>
      </c>
      <c r="H62" s="131">
        <f>IF(IF(H$39&lt;=$C62,H$26,(((H$39-$C62)/SAP!$C$10)*'C&amp;B'!$D$13/SAP!$C$143)+H$26)&lt;=SAP!$E$151,IF(H$39&lt;=$C62,H$26,(((H$39-$C62)/SAP!$C$10)*'C&amp;B'!$D$13/SAP!$C$143)+H$26),"Not Possible")</f>
        <v>0</v>
      </c>
      <c r="I62" s="131" t="str">
        <f>IF(IF(I$39&lt;=$C62,I$26,(((I$39-$C62)/SAP!$C$10)*'C&amp;B'!$D$13/SAP!$C$143)+I$26)&lt;=SAP!$E$151,IF(I$39&lt;=$C62,I$26,(((I$39-$C62)/SAP!$C$10)*'C&amp;B'!$D$13/SAP!$C$143)+I$26),"Not Possible")</f>
        <v>Not Possible</v>
      </c>
      <c r="J62" s="131">
        <f>IF(IF(J$39&lt;=$C62,J$26,(((J$39-$C62)/SAP!$C$10)*'C&amp;B'!$D$13/SAP!$C$143)+J$26)&lt;=SAP!$E$151,IF(J$39&lt;=$C62,J$26,(((J$39-$C62)/SAP!$C$10)*'C&amp;B'!$D$13/SAP!$C$143)+J$26),"Not Possible")</f>
        <v>0</v>
      </c>
      <c r="K62" s="131" t="str">
        <f>IF(IF(K$39&lt;=$C62,K$26,(((K$39-$C62)/SAP!$C$10)*'C&amp;B'!$D$13/SAP!$C$143)+K$26)&lt;=SAP!$E$151,IF(K$39&lt;=$C62,K$26,(((K$39-$C62)/SAP!$C$10)*'C&amp;B'!$D$13/SAP!$C$143)+K$26),"Not Possible")</f>
        <v>Not Possible</v>
      </c>
      <c r="L62" s="131">
        <f>IF(IF(L$39&lt;=$C62,L$26,(((L$39-$C62)/SAP!$C$10)*'C&amp;B'!$D$13/SAP!$C$143)+L$26)&lt;=SAP!$E$151,IF(L$39&lt;=$C62,L$26,(((L$39-$C62)/SAP!$C$10)*'C&amp;B'!$D$13/SAP!$C$143)+L$26),"Not Possible")</f>
        <v>0</v>
      </c>
      <c r="M62" s="131" t="str">
        <f>IF(IF(M$39&lt;=$C62,M$26,(((M$39-$C62)/SAP!$C$10)*'C&amp;B'!$D$13/SAP!$C$143)+M$26)&lt;=SAP!$E$151,IF(M$39&lt;=$C62,M$26,(((M$39-$C62)/SAP!$C$10)*'C&amp;B'!$D$13/SAP!$C$143)+M$26),"Not Possible")</f>
        <v>Not Possible</v>
      </c>
      <c r="N62" s="131">
        <f>IF(IF(N$39&lt;=$C62,N$26,(((N$39-$C62)/SAP!$C$10)*'C&amp;B'!$D$13/SAP!$C$143)+N$26)&lt;=SAP!$E$151,IF(N$39&lt;=$C62,N$26,(((N$39-$C62)/SAP!$C$10)*'C&amp;B'!$D$13/SAP!$C$143)+N$26),"Not Possible")</f>
        <v>0</v>
      </c>
      <c r="O62" s="131" t="str">
        <f>IF(IF(O$39&lt;=$C62,O$26,(((O$39-$C62)/SAP!$C$10)*'C&amp;B'!$D$13/SAP!$C$143)+O$26)&lt;=SAP!$E$151,IF(O$39&lt;=$C62,O$26,(((O$39-$C62)/SAP!$C$10)*'C&amp;B'!$D$13/SAP!$C$143)+O$26),"Not Possible")</f>
        <v>Not Possible</v>
      </c>
      <c r="P62" s="131">
        <f>IF(IF(P$39&lt;=$C62,P$26,(((P$39-$C62)/SAP!$C$10)*'C&amp;B'!$D$13/SAP!$C$143)+P$26)&lt;=SAP!$E$151,IF(P$39&lt;=$C62,P$26,(((P$39-$C62)/SAP!$C$10)*'C&amp;B'!$D$13/SAP!$C$143)+P$26),"Not Possible")</f>
        <v>0</v>
      </c>
      <c r="Q62" s="131" t="str">
        <f>IF(IF(Q$39&lt;=$C62,Q$26,(((Q$39-$C62)/SAP!$C$10)*'C&amp;B'!$D$13/SAP!$C$143)+Q$26)&lt;=SAP!$E$151,IF(Q$39&lt;=$C62,Q$26,(((Q$39-$C62)/SAP!$C$10)*'C&amp;B'!$D$13/SAP!$C$143)+Q$26),"Not Possible")</f>
        <v>Not Possible</v>
      </c>
      <c r="R62" s="131">
        <f>IF(IF(R$39&lt;=$C62,R$26,(((R$39-$C62)/SAP!$C$10)*'C&amp;B'!$D$13/SAP!$C$143)+R$26)&lt;=SAP!$E$151,IF(R$39&lt;=$C62,R$26,(((R$39-$C62)/SAP!$C$10)*'C&amp;B'!$D$13/SAP!$C$143)+R$26),"Not Possible")</f>
        <v>0</v>
      </c>
      <c r="S62" s="131">
        <f>IF(IF(S$39&lt;=$C62,S$26,(((S$39-$C62)/SAP!$C$10)*'C&amp;B'!$D$13/SAP!$C$143)+S$26)&lt;=SAP!$E$151,IF(S$39&lt;=$C62,S$26,(((S$39-$C62)/SAP!$C$10)*'C&amp;B'!$D$13/SAP!$C$143)+S$26),"Not Possible")</f>
        <v>0</v>
      </c>
      <c r="T62" s="131">
        <f>IF(IF(T$39&lt;=$C62,T$26,(((T$39-$C62)/SAP!$C$10)*'C&amp;B'!$D$13/SAP!$C$143)+T$26)&lt;=SAP!$E$151,IF(T$39&lt;=$C62,T$26,(((T$39-$C62)/SAP!$C$10)*'C&amp;B'!$D$13/SAP!$C$143)+T$26),"Not Possible")</f>
        <v>0</v>
      </c>
      <c r="V62" s="130" t="s">
        <v>613</v>
      </c>
      <c r="W62" s="82" t="e">
        <f>IF(D62=0,0,IF(D62&lt;4,'C&amp;B'!$E$316+(D62*'C&amp;B'!$E$317),D62*'C&amp;B'!$E$318))</f>
        <v>#VALUE!</v>
      </c>
      <c r="X62" s="82" t="e">
        <f>IF(E62=0,0,IF(E62&lt;4,'C&amp;B'!$E$316+(E62*'C&amp;B'!$E$317),E62*'C&amp;B'!$E$318))</f>
        <v>#VALUE!</v>
      </c>
      <c r="Y62" s="82">
        <f>IF(F62=0,0,IF(F62&lt;4,'C&amp;B'!$E$316+(F62*'C&amp;B'!$E$317),F62*'C&amp;B'!$E$318))</f>
        <v>0</v>
      </c>
      <c r="Z62" s="82" t="e">
        <f>IF(G62=0,0,IF(G62&lt;4,'C&amp;B'!$E$316+(G62*'C&amp;B'!$E$317),G62*'C&amp;B'!$E$318))</f>
        <v>#VALUE!</v>
      </c>
      <c r="AA62" s="82">
        <f>IF(H62=0,0,IF(H62&lt;4,'C&amp;B'!$E$316+(H62*'C&amp;B'!$E$317),H62*'C&amp;B'!$E$318))</f>
        <v>0</v>
      </c>
      <c r="AB62" s="82" t="e">
        <f>IF(I62=0,0,IF(I62&lt;4,'C&amp;B'!$E$316+(I62*'C&amp;B'!$E$317),I62*'C&amp;B'!$E$318))</f>
        <v>#VALUE!</v>
      </c>
      <c r="AC62" s="82">
        <f>IF(J62=0,0,IF(J62&lt;4,'C&amp;B'!$E$316+(J62*'C&amp;B'!$E$317),J62*'C&amp;B'!$E$318))</f>
        <v>0</v>
      </c>
      <c r="AD62" s="82" t="e">
        <f>IF(K62=0,0,IF(K62&lt;4,'C&amp;B'!$E$316+(K62*'C&amp;B'!$E$317),K62*'C&amp;B'!$E$318))</f>
        <v>#VALUE!</v>
      </c>
      <c r="AE62" s="82">
        <f>IF(L62=0,0,IF(L62&lt;4,'C&amp;B'!$E$316+(L62*'C&amp;B'!$E$317),L62*'C&amp;B'!$E$318))</f>
        <v>0</v>
      </c>
      <c r="AF62" s="82" t="e">
        <f>IF(M62=0,0,IF(M62&lt;4,'C&amp;B'!$E$316+(M62*'C&amp;B'!$E$317),M62*'C&amp;B'!$E$318))</f>
        <v>#VALUE!</v>
      </c>
      <c r="AG62" s="82">
        <f>IF(N62=0,0,IF(N62&lt;4,'C&amp;B'!$E$316+(N62*'C&amp;B'!$E$317),N62*'C&amp;B'!$E$318))</f>
        <v>0</v>
      </c>
      <c r="AH62" s="82" t="e">
        <f>IF(O62=0,0,IF(O62&lt;4,'C&amp;B'!$E$316+(O62*'C&amp;B'!$E$317),O62*'C&amp;B'!$E$318))</f>
        <v>#VALUE!</v>
      </c>
      <c r="AI62" s="82">
        <f>IF(P62=0,0,IF(P62&lt;4,'C&amp;B'!$E$316+(P62*'C&amp;B'!$E$317),P62*'C&amp;B'!$E$318))</f>
        <v>0</v>
      </c>
      <c r="AJ62" s="82" t="e">
        <f>IF(Q62=0,0,IF(Q62&lt;4,'C&amp;B'!$E$316+(Q62*'C&amp;B'!$E$317),Q62*'C&amp;B'!$E$318))</f>
        <v>#VALUE!</v>
      </c>
      <c r="AK62" s="82">
        <f>IF(R62=0,0,IF(R62&lt;4,'C&amp;B'!$E$316+(R62*'C&amp;B'!$E$317),R62*'C&amp;B'!$E$318))</f>
        <v>0</v>
      </c>
      <c r="AL62" s="82">
        <f>IF(S62=0,0,IF(S62&lt;4,'C&amp;B'!$E$316+(S62*'C&amp;B'!$E$317),S62*'C&amp;B'!$E$318))</f>
        <v>0</v>
      </c>
      <c r="AM62" s="82">
        <f>IF(T62=0,0,IF(T62&lt;4,'C&amp;B'!$E$316+(T62*'C&amp;B'!$E$317),T62*'C&amp;B'!$E$318))</f>
        <v>0</v>
      </c>
      <c r="AO62" s="130" t="s">
        <v>613</v>
      </c>
      <c r="AP62" s="82" t="e">
        <f t="shared" si="27"/>
        <v>#VALUE!</v>
      </c>
      <c r="AQ62" s="82" t="e">
        <f t="shared" si="26"/>
        <v>#VALUE!</v>
      </c>
      <c r="AR62" s="82">
        <f t="shared" si="26"/>
        <v>24370</v>
      </c>
      <c r="AS62" s="82" t="e">
        <f t="shared" si="26"/>
        <v>#VALUE!</v>
      </c>
      <c r="AT62" s="82">
        <f t="shared" si="26"/>
        <v>24083</v>
      </c>
      <c r="AU62" s="82" t="e">
        <f t="shared" si="26"/>
        <v>#VALUE!</v>
      </c>
      <c r="AV62" s="82">
        <f t="shared" si="26"/>
        <v>25438</v>
      </c>
      <c r="AW62" s="82" t="e">
        <f t="shared" si="26"/>
        <v>#VALUE!</v>
      </c>
      <c r="AX62" s="82">
        <f t="shared" si="26"/>
        <v>25438</v>
      </c>
      <c r="AY62" s="82" t="e">
        <f t="shared" si="26"/>
        <v>#VALUE!</v>
      </c>
      <c r="AZ62" s="82">
        <f t="shared" si="26"/>
        <v>25438</v>
      </c>
      <c r="BA62" s="82" t="e">
        <f t="shared" si="26"/>
        <v>#VALUE!</v>
      </c>
      <c r="BB62" s="82">
        <f t="shared" si="26"/>
        <v>25438</v>
      </c>
      <c r="BC62" s="82" t="e">
        <f t="shared" si="26"/>
        <v>#VALUE!</v>
      </c>
      <c r="BD62" s="82">
        <f t="shared" si="26"/>
        <v>25713</v>
      </c>
      <c r="BE62" s="82">
        <f t="shared" si="26"/>
        <v>25530</v>
      </c>
      <c r="BF62" s="82">
        <f t="shared" si="26"/>
        <v>24370</v>
      </c>
    </row>
    <row r="63" spans="2:58" s="4" customFormat="1">
      <c r="B63" s="130" t="s">
        <v>614</v>
      </c>
      <c r="C63" s="127">
        <f>SAP!D164</f>
        <v>5.404014633683877</v>
      </c>
      <c r="D63" s="131" t="str">
        <f>IF(IF(D$39&lt;=$C63,D$26,(((D$39-$C63)/SAP!$C$10)*'C&amp;B'!$D$13/SAP!$C$143)+D$26)&lt;=SAP!$E$151,IF(D$39&lt;=$C63,D$26,(((D$39-$C63)/SAP!$C$10)*'C&amp;B'!$D$13/SAP!$C$143)+D$26),"Not Possible")</f>
        <v>Not Possible</v>
      </c>
      <c r="E63" s="131" t="str">
        <f>IF(IF(E$39&lt;=$C63,E$26,(((E$39-$C63)/SAP!$C$10)*'C&amp;B'!$D$13/SAP!$C$143)+E$26)&lt;=SAP!$E$151,IF(E$39&lt;=$C63,E$26,(((E$39-$C63)/SAP!$C$10)*'C&amp;B'!$D$13/SAP!$C$143)+E$26),"Not Possible")</f>
        <v>Not Possible</v>
      </c>
      <c r="F63" s="131">
        <f>IF(IF(F$39&lt;=$C63,F$26,(((F$39-$C63)/SAP!$C$10)*'C&amp;B'!$D$13/SAP!$C$143)+F$26)&lt;=SAP!$E$151,IF(F$39&lt;=$C63,F$26,(((F$39-$C63)/SAP!$C$10)*'C&amp;B'!$D$13/SAP!$C$143)+F$26),"Not Possible")</f>
        <v>0</v>
      </c>
      <c r="G63" s="131" t="str">
        <f>IF(IF(G$39&lt;=$C63,G$26,(((G$39-$C63)/SAP!$C$10)*'C&amp;B'!$D$13/SAP!$C$143)+G$26)&lt;=SAP!$E$151,IF(G$39&lt;=$C63,G$26,(((G$39-$C63)/SAP!$C$10)*'C&amp;B'!$D$13/SAP!$C$143)+G$26),"Not Possible")</f>
        <v>Not Possible</v>
      </c>
      <c r="H63" s="131">
        <f>IF(IF(H$39&lt;=$C63,H$26,(((H$39-$C63)/SAP!$C$10)*'C&amp;B'!$D$13/SAP!$C$143)+H$26)&lt;=SAP!$E$151,IF(H$39&lt;=$C63,H$26,(((H$39-$C63)/SAP!$C$10)*'C&amp;B'!$D$13/SAP!$C$143)+H$26),"Not Possible")</f>
        <v>0</v>
      </c>
      <c r="I63" s="131" t="str">
        <f>IF(IF(I$39&lt;=$C63,I$26,(((I$39-$C63)/SAP!$C$10)*'C&amp;B'!$D$13/SAP!$C$143)+I$26)&lt;=SAP!$E$151,IF(I$39&lt;=$C63,I$26,(((I$39-$C63)/SAP!$C$10)*'C&amp;B'!$D$13/SAP!$C$143)+I$26),"Not Possible")</f>
        <v>Not Possible</v>
      </c>
      <c r="J63" s="131">
        <f>IF(IF(J$39&lt;=$C63,J$26,(((J$39-$C63)/SAP!$C$10)*'C&amp;B'!$D$13/SAP!$C$143)+J$26)&lt;=SAP!$E$151,IF(J$39&lt;=$C63,J$26,(((J$39-$C63)/SAP!$C$10)*'C&amp;B'!$D$13/SAP!$C$143)+J$26),"Not Possible")</f>
        <v>0</v>
      </c>
      <c r="K63" s="131" t="str">
        <f>IF(IF(K$39&lt;=$C63,K$26,(((K$39-$C63)/SAP!$C$10)*'C&amp;B'!$D$13/SAP!$C$143)+K$26)&lt;=SAP!$E$151,IF(K$39&lt;=$C63,K$26,(((K$39-$C63)/SAP!$C$10)*'C&amp;B'!$D$13/SAP!$C$143)+K$26),"Not Possible")</f>
        <v>Not Possible</v>
      </c>
      <c r="L63" s="131">
        <f>IF(IF(L$39&lt;=$C63,L$26,(((L$39-$C63)/SAP!$C$10)*'C&amp;B'!$D$13/SAP!$C$143)+L$26)&lt;=SAP!$E$151,IF(L$39&lt;=$C63,L$26,(((L$39-$C63)/SAP!$C$10)*'C&amp;B'!$D$13/SAP!$C$143)+L$26),"Not Possible")</f>
        <v>0</v>
      </c>
      <c r="M63" s="131" t="str">
        <f>IF(IF(M$39&lt;=$C63,M$26,(((M$39-$C63)/SAP!$C$10)*'C&amp;B'!$D$13/SAP!$C$143)+M$26)&lt;=SAP!$E$151,IF(M$39&lt;=$C63,M$26,(((M$39-$C63)/SAP!$C$10)*'C&amp;B'!$D$13/SAP!$C$143)+M$26),"Not Possible")</f>
        <v>Not Possible</v>
      </c>
      <c r="N63" s="131">
        <f>IF(IF(N$39&lt;=$C63,N$26,(((N$39-$C63)/SAP!$C$10)*'C&amp;B'!$D$13/SAP!$C$143)+N$26)&lt;=SAP!$E$151,IF(N$39&lt;=$C63,N$26,(((N$39-$C63)/SAP!$C$10)*'C&amp;B'!$D$13/SAP!$C$143)+N$26),"Not Possible")</f>
        <v>0</v>
      </c>
      <c r="O63" s="131" t="str">
        <f>IF(IF(O$39&lt;=$C63,O$26,(((O$39-$C63)/SAP!$C$10)*'C&amp;B'!$D$13/SAP!$C$143)+O$26)&lt;=SAP!$E$151,IF(O$39&lt;=$C63,O$26,(((O$39-$C63)/SAP!$C$10)*'C&amp;B'!$D$13/SAP!$C$143)+O$26),"Not Possible")</f>
        <v>Not Possible</v>
      </c>
      <c r="P63" s="131">
        <f>IF(IF(P$39&lt;=$C63,P$26,(((P$39-$C63)/SAP!$C$10)*'C&amp;B'!$D$13/SAP!$C$143)+P$26)&lt;=SAP!$E$151,IF(P$39&lt;=$C63,P$26,(((P$39-$C63)/SAP!$C$10)*'C&amp;B'!$D$13/SAP!$C$143)+P$26),"Not Possible")</f>
        <v>0</v>
      </c>
      <c r="Q63" s="131" t="str">
        <f>IF(IF(Q$39&lt;=$C63,Q$26,(((Q$39-$C63)/SAP!$C$10)*'C&amp;B'!$D$13/SAP!$C$143)+Q$26)&lt;=SAP!$E$151,IF(Q$39&lt;=$C63,Q$26,(((Q$39-$C63)/SAP!$C$10)*'C&amp;B'!$D$13/SAP!$C$143)+Q$26),"Not Possible")</f>
        <v>Not Possible</v>
      </c>
      <c r="R63" s="131">
        <f>IF(IF(R$39&lt;=$C63,R$26,(((R$39-$C63)/SAP!$C$10)*'C&amp;B'!$D$13/SAP!$C$143)+R$26)&lt;=SAP!$E$151,IF(R$39&lt;=$C63,R$26,(((R$39-$C63)/SAP!$C$10)*'C&amp;B'!$D$13/SAP!$C$143)+R$26),"Not Possible")</f>
        <v>0</v>
      </c>
      <c r="S63" s="131">
        <f>IF(IF(S$39&lt;=$C63,S$26,(((S$39-$C63)/SAP!$C$10)*'C&amp;B'!$D$13/SAP!$C$143)+S$26)&lt;=SAP!$E$151,IF(S$39&lt;=$C63,S$26,(((S$39-$C63)/SAP!$C$10)*'C&amp;B'!$D$13/SAP!$C$143)+S$26),"Not Possible")</f>
        <v>0</v>
      </c>
      <c r="T63" s="131">
        <f>IF(IF(T$39&lt;=$C63,T$26,(((T$39-$C63)/SAP!$C$10)*'C&amp;B'!$D$13/SAP!$C$143)+T$26)&lt;=SAP!$E$151,IF(T$39&lt;=$C63,T$26,(((T$39-$C63)/SAP!$C$10)*'C&amp;B'!$D$13/SAP!$C$143)+T$26),"Not Possible")</f>
        <v>0</v>
      </c>
      <c r="V63" s="130" t="s">
        <v>614</v>
      </c>
      <c r="W63" s="82" t="e">
        <f>IF(D63=0,0,IF(D63&lt;4,'C&amp;B'!$E$316+(D63*'C&amp;B'!$E$317),D63*'C&amp;B'!$E$318))</f>
        <v>#VALUE!</v>
      </c>
      <c r="X63" s="82" t="e">
        <f>IF(E63=0,0,IF(E63&lt;4,'C&amp;B'!$E$316+(E63*'C&amp;B'!$E$317),E63*'C&amp;B'!$E$318))</f>
        <v>#VALUE!</v>
      </c>
      <c r="Y63" s="82">
        <f>IF(F63=0,0,IF(F63&lt;4,'C&amp;B'!$E$316+(F63*'C&amp;B'!$E$317),F63*'C&amp;B'!$E$318))</f>
        <v>0</v>
      </c>
      <c r="Z63" s="82" t="e">
        <f>IF(G63=0,0,IF(G63&lt;4,'C&amp;B'!$E$316+(G63*'C&amp;B'!$E$317),G63*'C&amp;B'!$E$318))</f>
        <v>#VALUE!</v>
      </c>
      <c r="AA63" s="82">
        <f>IF(H63=0,0,IF(H63&lt;4,'C&amp;B'!$E$316+(H63*'C&amp;B'!$E$317),H63*'C&amp;B'!$E$318))</f>
        <v>0</v>
      </c>
      <c r="AB63" s="82" t="e">
        <f>IF(I63=0,0,IF(I63&lt;4,'C&amp;B'!$E$316+(I63*'C&amp;B'!$E$317),I63*'C&amp;B'!$E$318))</f>
        <v>#VALUE!</v>
      </c>
      <c r="AC63" s="82">
        <f>IF(J63=0,0,IF(J63&lt;4,'C&amp;B'!$E$316+(J63*'C&amp;B'!$E$317),J63*'C&amp;B'!$E$318))</f>
        <v>0</v>
      </c>
      <c r="AD63" s="82" t="e">
        <f>IF(K63=0,0,IF(K63&lt;4,'C&amp;B'!$E$316+(K63*'C&amp;B'!$E$317),K63*'C&amp;B'!$E$318))</f>
        <v>#VALUE!</v>
      </c>
      <c r="AE63" s="82">
        <f>IF(L63=0,0,IF(L63&lt;4,'C&amp;B'!$E$316+(L63*'C&amp;B'!$E$317),L63*'C&amp;B'!$E$318))</f>
        <v>0</v>
      </c>
      <c r="AF63" s="82" t="e">
        <f>IF(M63=0,0,IF(M63&lt;4,'C&amp;B'!$E$316+(M63*'C&amp;B'!$E$317),M63*'C&amp;B'!$E$318))</f>
        <v>#VALUE!</v>
      </c>
      <c r="AG63" s="82">
        <f>IF(N63=0,0,IF(N63&lt;4,'C&amp;B'!$E$316+(N63*'C&amp;B'!$E$317),N63*'C&amp;B'!$E$318))</f>
        <v>0</v>
      </c>
      <c r="AH63" s="82" t="e">
        <f>IF(O63=0,0,IF(O63&lt;4,'C&amp;B'!$E$316+(O63*'C&amp;B'!$E$317),O63*'C&amp;B'!$E$318))</f>
        <v>#VALUE!</v>
      </c>
      <c r="AI63" s="82">
        <f>IF(P63=0,0,IF(P63&lt;4,'C&amp;B'!$E$316+(P63*'C&amp;B'!$E$317),P63*'C&amp;B'!$E$318))</f>
        <v>0</v>
      </c>
      <c r="AJ63" s="82" t="e">
        <f>IF(Q63=0,0,IF(Q63&lt;4,'C&amp;B'!$E$316+(Q63*'C&amp;B'!$E$317),Q63*'C&amp;B'!$E$318))</f>
        <v>#VALUE!</v>
      </c>
      <c r="AK63" s="82">
        <f>IF(R63=0,0,IF(R63&lt;4,'C&amp;B'!$E$316+(R63*'C&amp;B'!$E$317),R63*'C&amp;B'!$E$318))</f>
        <v>0</v>
      </c>
      <c r="AL63" s="82">
        <f>IF(S63=0,0,IF(S63&lt;4,'C&amp;B'!$E$316+(S63*'C&amp;B'!$E$317),S63*'C&amp;B'!$E$318))</f>
        <v>0</v>
      </c>
      <c r="AM63" s="82">
        <f>IF(T63=0,0,IF(T63&lt;4,'C&amp;B'!$E$316+(T63*'C&amp;B'!$E$317),T63*'C&amp;B'!$E$318))</f>
        <v>0</v>
      </c>
      <c r="AO63" s="130" t="s">
        <v>614</v>
      </c>
      <c r="AP63" s="82" t="e">
        <f t="shared" si="27"/>
        <v>#VALUE!</v>
      </c>
      <c r="AQ63" s="82" t="e">
        <f t="shared" si="26"/>
        <v>#VALUE!</v>
      </c>
      <c r="AR63" s="82">
        <f t="shared" si="26"/>
        <v>24370</v>
      </c>
      <c r="AS63" s="82" t="e">
        <f t="shared" si="26"/>
        <v>#VALUE!</v>
      </c>
      <c r="AT63" s="82">
        <f t="shared" si="26"/>
        <v>24083</v>
      </c>
      <c r="AU63" s="82" t="e">
        <f t="shared" si="26"/>
        <v>#VALUE!</v>
      </c>
      <c r="AV63" s="82">
        <f t="shared" si="26"/>
        <v>25438</v>
      </c>
      <c r="AW63" s="82" t="e">
        <f t="shared" si="26"/>
        <v>#VALUE!</v>
      </c>
      <c r="AX63" s="82">
        <f t="shared" si="26"/>
        <v>25438</v>
      </c>
      <c r="AY63" s="82" t="e">
        <f t="shared" si="26"/>
        <v>#VALUE!</v>
      </c>
      <c r="AZ63" s="82">
        <f t="shared" si="26"/>
        <v>25438</v>
      </c>
      <c r="BA63" s="82" t="e">
        <f t="shared" si="26"/>
        <v>#VALUE!</v>
      </c>
      <c r="BB63" s="82">
        <f t="shared" si="26"/>
        <v>25438</v>
      </c>
      <c r="BC63" s="82" t="e">
        <f t="shared" si="26"/>
        <v>#VALUE!</v>
      </c>
      <c r="BD63" s="82">
        <f t="shared" si="26"/>
        <v>25713</v>
      </c>
      <c r="BE63" s="82">
        <f t="shared" si="26"/>
        <v>25530</v>
      </c>
      <c r="BF63" s="82">
        <f t="shared" si="26"/>
        <v>24370</v>
      </c>
    </row>
    <row r="64" spans="2:58" s="4" customFormat="1">
      <c r="B64" s="130" t="s">
        <v>615</v>
      </c>
      <c r="C64" s="127">
        <f>SAP!D165</f>
        <v>0</v>
      </c>
      <c r="D64" s="131" t="str">
        <f>IF(IF(D$39&lt;=$C64,D$26,(((D$39-$C64)/SAP!$C$10)*'C&amp;B'!$D$13/SAP!$C$143)+D$26)&lt;=SAP!$E$151,IF(D$39&lt;=$C64,D$26,(((D$39-$C64)/SAP!$C$10)*'C&amp;B'!$D$13/SAP!$C$143)+D$26),"Not Possible")</f>
        <v>Not Possible</v>
      </c>
      <c r="E64" s="131" t="str">
        <f>IF(IF(E$39&lt;=$C64,E$26,(((E$39-$C64)/SAP!$C$10)*'C&amp;B'!$D$13/SAP!$C$143)+E$26)&lt;=SAP!$E$151,IF(E$39&lt;=$C64,E$26,(((E$39-$C64)/SAP!$C$10)*'C&amp;B'!$D$13/SAP!$C$143)+E$26),"Not Possible")</f>
        <v>Not Possible</v>
      </c>
      <c r="F64" s="131">
        <f>IF(IF(F$39&lt;=$C64,F$26,(((F$39-$C64)/SAP!$C$10)*'C&amp;B'!$D$13/SAP!$C$143)+F$26)&lt;=SAP!$E$151,IF(F$39&lt;=$C64,F$26,(((F$39-$C64)/SAP!$C$10)*'C&amp;B'!$D$13/SAP!$C$143)+F$26),"Not Possible")</f>
        <v>2.731896326940344</v>
      </c>
      <c r="G64" s="131" t="str">
        <f>IF(IF(G$39&lt;=$C64,G$26,(((G$39-$C64)/SAP!$C$10)*'C&amp;B'!$D$13/SAP!$C$143)+G$26)&lt;=SAP!$E$151,IF(G$39&lt;=$C64,G$26,(((G$39-$C64)/SAP!$C$10)*'C&amp;B'!$D$13/SAP!$C$143)+G$26),"Not Possible")</f>
        <v>Not Possible</v>
      </c>
      <c r="H64" s="131">
        <f>IF(IF(H$39&lt;=$C64,H$26,(((H$39-$C64)/SAP!$C$10)*'C&amp;B'!$D$13/SAP!$C$143)+H$26)&lt;=SAP!$E$151,IF(H$39&lt;=$C64,H$26,(((H$39-$C64)/SAP!$C$10)*'C&amp;B'!$D$13/SAP!$C$143)+H$26),"Not Possible")</f>
        <v>2.6884253414371342</v>
      </c>
      <c r="I64" s="131" t="str">
        <f>IF(IF(I$39&lt;=$C64,I$26,(((I$39-$C64)/SAP!$C$10)*'C&amp;B'!$D$13/SAP!$C$143)+I$26)&lt;=SAP!$E$151,IF(I$39&lt;=$C64,I$26,(((I$39-$C64)/SAP!$C$10)*'C&amp;B'!$D$13/SAP!$C$143)+I$26),"Not Possible")</f>
        <v>Not Possible</v>
      </c>
      <c r="J64" s="131" t="str">
        <f>IF(IF(J$39&lt;=$C64,J$26,(((J$39-$C64)/SAP!$C$10)*'C&amp;B'!$D$13/SAP!$C$143)+J$26)&lt;=SAP!$E$151,IF(J$39&lt;=$C64,J$26,(((J$39-$C64)/SAP!$C$10)*'C&amp;B'!$D$13/SAP!$C$143)+J$26),"Not Possible")</f>
        <v>Not Possible</v>
      </c>
      <c r="K64" s="131" t="str">
        <f>IF(IF(K$39&lt;=$C64,K$26,(((K$39-$C64)/SAP!$C$10)*'C&amp;B'!$D$13/SAP!$C$143)+K$26)&lt;=SAP!$E$151,IF(K$39&lt;=$C64,K$26,(((K$39-$C64)/SAP!$C$10)*'C&amp;B'!$D$13/SAP!$C$143)+K$26),"Not Possible")</f>
        <v>Not Possible</v>
      </c>
      <c r="L64" s="131" t="str">
        <f>IF(IF(L$39&lt;=$C64,L$26,(((L$39-$C64)/SAP!$C$10)*'C&amp;B'!$D$13/SAP!$C$143)+L$26)&lt;=SAP!$E$151,IF(L$39&lt;=$C64,L$26,(((L$39-$C64)/SAP!$C$10)*'C&amp;B'!$D$13/SAP!$C$143)+L$26),"Not Possible")</f>
        <v>Not Possible</v>
      </c>
      <c r="M64" s="131" t="str">
        <f>IF(IF(M$39&lt;=$C64,M$26,(((M$39-$C64)/SAP!$C$10)*'C&amp;B'!$D$13/SAP!$C$143)+M$26)&lt;=SAP!$E$151,IF(M$39&lt;=$C64,M$26,(((M$39-$C64)/SAP!$C$10)*'C&amp;B'!$D$13/SAP!$C$143)+M$26),"Not Possible")</f>
        <v>Not Possible</v>
      </c>
      <c r="N64" s="131" t="str">
        <f>IF(IF(N$39&lt;=$C64,N$26,(((N$39-$C64)/SAP!$C$10)*'C&amp;B'!$D$13/SAP!$C$143)+N$26)&lt;=SAP!$E$151,IF(N$39&lt;=$C64,N$26,(((N$39-$C64)/SAP!$C$10)*'C&amp;B'!$D$13/SAP!$C$143)+N$26),"Not Possible")</f>
        <v>Not Possible</v>
      </c>
      <c r="O64" s="131" t="str">
        <f>IF(IF(O$39&lt;=$C64,O$26,(((O$39-$C64)/SAP!$C$10)*'C&amp;B'!$D$13/SAP!$C$143)+O$26)&lt;=SAP!$E$151,IF(O$39&lt;=$C64,O$26,(((O$39-$C64)/SAP!$C$10)*'C&amp;B'!$D$13/SAP!$C$143)+O$26),"Not Possible")</f>
        <v>Not Possible</v>
      </c>
      <c r="P64" s="131" t="str">
        <f>IF(IF(P$39&lt;=$C64,P$26,(((P$39-$C64)/SAP!$C$10)*'C&amp;B'!$D$13/SAP!$C$143)+P$26)&lt;=SAP!$E$151,IF(P$39&lt;=$C64,P$26,(((P$39-$C64)/SAP!$C$10)*'C&amp;B'!$D$13/SAP!$C$143)+P$26),"Not Possible")</f>
        <v>Not Possible</v>
      </c>
      <c r="Q64" s="131" t="str">
        <f>IF(IF(Q$39&lt;=$C64,Q$26,(((Q$39-$C64)/SAP!$C$10)*'C&amp;B'!$D$13/SAP!$C$143)+Q$26)&lt;=SAP!$E$151,IF(Q$39&lt;=$C64,Q$26,(((Q$39-$C64)/SAP!$C$10)*'C&amp;B'!$D$13/SAP!$C$143)+Q$26),"Not Possible")</f>
        <v>Not Possible</v>
      </c>
      <c r="R64" s="131" t="str">
        <f>IF(IF(R$39&lt;=$C64,R$26,(((R$39-$C64)/SAP!$C$10)*'C&amp;B'!$D$13/SAP!$C$143)+R$26)&lt;=SAP!$E$151,IF(R$39&lt;=$C64,R$26,(((R$39-$C64)/SAP!$C$10)*'C&amp;B'!$D$13/SAP!$C$143)+R$26),"Not Possible")</f>
        <v>Not Possible</v>
      </c>
      <c r="S64" s="131">
        <f>IF(IF(S$39&lt;=$C64,S$26,(((S$39-$C64)/SAP!$C$10)*'C&amp;B'!$D$13/SAP!$C$143)+S$26)&lt;=SAP!$E$151,IF(S$39&lt;=$C64,S$26,(((S$39-$C64)/SAP!$C$10)*'C&amp;B'!$D$13/SAP!$C$143)+S$26),"Not Possible")</f>
        <v>2.6305553289256456</v>
      </c>
      <c r="T64" s="131">
        <f>IF(IF(T$39&lt;=$C64,T$26,(((T$39-$C64)/SAP!$C$10)*'C&amp;B'!$D$13/SAP!$C$143)+T$26)&lt;=SAP!$E$151,IF(T$39&lt;=$C64,T$26,(((T$39-$C64)/SAP!$C$10)*'C&amp;B'!$D$13/SAP!$C$143)+T$26),"Not Possible")</f>
        <v>2.9657277539418563</v>
      </c>
      <c r="V64" s="130" t="s">
        <v>615</v>
      </c>
      <c r="W64" s="82" t="e">
        <f>IF(D64=0,0,IF(D64&lt;4,'C&amp;B'!$E$316+(D64*'C&amp;B'!$E$317),D64*'C&amp;B'!$E$318))</f>
        <v>#VALUE!</v>
      </c>
      <c r="X64" s="82" t="e">
        <f>IF(E64=0,0,IF(E64&lt;4,'C&amp;B'!$E$316+(E64*'C&amp;B'!$E$317),E64*'C&amp;B'!$E$318))</f>
        <v>#VALUE!</v>
      </c>
      <c r="Y64" s="82">
        <f>IF(F64=0,0,IF(F64&lt;4,'C&amp;B'!$E$316+(F64*'C&amp;B'!$E$317),F64*'C&amp;B'!$E$318))</f>
        <v>2739.1377961642065</v>
      </c>
      <c r="Z64" s="82" t="e">
        <f>IF(G64=0,0,IF(G64&lt;4,'C&amp;B'!$E$316+(G64*'C&amp;B'!$E$317),G64*'C&amp;B'!$E$318))</f>
        <v>#VALUE!</v>
      </c>
      <c r="AA64" s="82">
        <f>IF(H64=0,0,IF(H64&lt;4,'C&amp;B'!$E$316+(H64*'C&amp;B'!$E$317),H64*'C&amp;B'!$E$318))</f>
        <v>2713.0552048622803</v>
      </c>
      <c r="AB64" s="82" t="e">
        <f>IF(I64=0,0,IF(I64&lt;4,'C&amp;B'!$E$316+(I64*'C&amp;B'!$E$317),I64*'C&amp;B'!$E$318))</f>
        <v>#VALUE!</v>
      </c>
      <c r="AC64" s="82" t="e">
        <f>IF(J64=0,0,IF(J64&lt;4,'C&amp;B'!$E$316+(J64*'C&amp;B'!$E$317),J64*'C&amp;B'!$E$318))</f>
        <v>#VALUE!</v>
      </c>
      <c r="AD64" s="82" t="e">
        <f>IF(K64=0,0,IF(K64&lt;4,'C&amp;B'!$E$316+(K64*'C&amp;B'!$E$317),K64*'C&amp;B'!$E$318))</f>
        <v>#VALUE!</v>
      </c>
      <c r="AE64" s="82" t="e">
        <f>IF(L64=0,0,IF(L64&lt;4,'C&amp;B'!$E$316+(L64*'C&amp;B'!$E$317),L64*'C&amp;B'!$E$318))</f>
        <v>#VALUE!</v>
      </c>
      <c r="AF64" s="82" t="e">
        <f>IF(M64=0,0,IF(M64&lt;4,'C&amp;B'!$E$316+(M64*'C&amp;B'!$E$317),M64*'C&amp;B'!$E$318))</f>
        <v>#VALUE!</v>
      </c>
      <c r="AG64" s="82" t="e">
        <f>IF(N64=0,0,IF(N64&lt;4,'C&amp;B'!$E$316+(N64*'C&amp;B'!$E$317),N64*'C&amp;B'!$E$318))</f>
        <v>#VALUE!</v>
      </c>
      <c r="AH64" s="82" t="e">
        <f>IF(O64=0,0,IF(O64&lt;4,'C&amp;B'!$E$316+(O64*'C&amp;B'!$E$317),O64*'C&amp;B'!$E$318))</f>
        <v>#VALUE!</v>
      </c>
      <c r="AI64" s="82" t="e">
        <f>IF(P64=0,0,IF(P64&lt;4,'C&amp;B'!$E$316+(P64*'C&amp;B'!$E$317),P64*'C&amp;B'!$E$318))</f>
        <v>#VALUE!</v>
      </c>
      <c r="AJ64" s="82" t="e">
        <f>IF(Q64=0,0,IF(Q64&lt;4,'C&amp;B'!$E$316+(Q64*'C&amp;B'!$E$317),Q64*'C&amp;B'!$E$318))</f>
        <v>#VALUE!</v>
      </c>
      <c r="AK64" s="82" t="e">
        <f>IF(R64=0,0,IF(R64&lt;4,'C&amp;B'!$E$316+(R64*'C&amp;B'!$E$317),R64*'C&amp;B'!$E$318))</f>
        <v>#VALUE!</v>
      </c>
      <c r="AL64" s="82">
        <f>IF(S64=0,0,IF(S64&lt;4,'C&amp;B'!$E$316+(S64*'C&amp;B'!$E$317),S64*'C&amp;B'!$E$318))</f>
        <v>2678.3331973553873</v>
      </c>
      <c r="AM64" s="82">
        <f>IF(T64=0,0,IF(T64&lt;4,'C&amp;B'!$E$316+(T64*'C&amp;B'!$E$317),T64*'C&amp;B'!$E$318))</f>
        <v>2879.4366523651138</v>
      </c>
      <c r="AO64" s="130" t="s">
        <v>615</v>
      </c>
      <c r="AP64" s="82" t="e">
        <f t="shared" si="27"/>
        <v>#VALUE!</v>
      </c>
      <c r="AQ64" s="82" t="e">
        <f t="shared" si="26"/>
        <v>#VALUE!</v>
      </c>
      <c r="AR64" s="82">
        <f t="shared" si="26"/>
        <v>27109.137796164207</v>
      </c>
      <c r="AS64" s="82" t="e">
        <f t="shared" si="26"/>
        <v>#VALUE!</v>
      </c>
      <c r="AT64" s="82">
        <f t="shared" si="26"/>
        <v>26796.055204862281</v>
      </c>
      <c r="AU64" s="82" t="e">
        <f t="shared" si="26"/>
        <v>#VALUE!</v>
      </c>
      <c r="AV64" s="82" t="e">
        <f t="shared" si="26"/>
        <v>#VALUE!</v>
      </c>
      <c r="AW64" s="82" t="e">
        <f t="shared" si="26"/>
        <v>#VALUE!</v>
      </c>
      <c r="AX64" s="82" t="e">
        <f t="shared" si="26"/>
        <v>#VALUE!</v>
      </c>
      <c r="AY64" s="82" t="e">
        <f t="shared" si="26"/>
        <v>#VALUE!</v>
      </c>
      <c r="AZ64" s="82" t="e">
        <f t="shared" si="26"/>
        <v>#VALUE!</v>
      </c>
      <c r="BA64" s="82" t="e">
        <f t="shared" si="26"/>
        <v>#VALUE!</v>
      </c>
      <c r="BB64" s="82" t="e">
        <f t="shared" si="26"/>
        <v>#VALUE!</v>
      </c>
      <c r="BC64" s="82" t="e">
        <f t="shared" si="26"/>
        <v>#VALUE!</v>
      </c>
      <c r="BD64" s="82" t="e">
        <f t="shared" si="26"/>
        <v>#VALUE!</v>
      </c>
      <c r="BE64" s="82">
        <f t="shared" si="26"/>
        <v>28208.333197355387</v>
      </c>
      <c r="BF64" s="82">
        <f t="shared" si="26"/>
        <v>27249.436652365115</v>
      </c>
    </row>
    <row r="65" spans="2:60" s="4" customFormat="1">
      <c r="B65" s="133" t="s">
        <v>668</v>
      </c>
      <c r="C65" s="127"/>
      <c r="D65" s="129"/>
      <c r="E65" s="113"/>
      <c r="F65" s="129"/>
      <c r="G65" s="129"/>
      <c r="H65" s="129"/>
      <c r="I65" s="129"/>
      <c r="J65" s="129"/>
      <c r="K65" s="129"/>
      <c r="L65" s="129"/>
      <c r="M65" s="129"/>
      <c r="N65" s="129"/>
      <c r="O65" s="129"/>
      <c r="P65" s="129"/>
      <c r="Q65" s="129"/>
      <c r="R65" s="129"/>
      <c r="S65" s="129"/>
      <c r="T65" s="132"/>
      <c r="V65" s="133" t="s">
        <v>668</v>
      </c>
      <c r="W65" s="82"/>
      <c r="X65" s="82"/>
      <c r="Y65" s="82"/>
      <c r="Z65" s="82"/>
      <c r="AA65" s="82"/>
      <c r="AB65" s="82"/>
      <c r="AC65" s="82"/>
      <c r="AD65" s="82"/>
      <c r="AE65" s="82"/>
      <c r="AF65" s="82"/>
      <c r="AG65" s="82"/>
      <c r="AH65" s="82"/>
      <c r="AI65" s="82"/>
      <c r="AJ65" s="82"/>
      <c r="AK65" s="82"/>
      <c r="AL65" s="82"/>
      <c r="AM65" s="82"/>
      <c r="AO65" s="133" t="s">
        <v>668</v>
      </c>
      <c r="AP65" s="82"/>
      <c r="AQ65" s="82"/>
      <c r="AR65" s="82"/>
      <c r="AS65" s="82"/>
      <c r="AT65" s="82"/>
      <c r="AU65" s="82"/>
      <c r="AV65" s="82"/>
      <c r="AW65" s="82"/>
      <c r="AX65" s="82"/>
      <c r="AY65" s="82"/>
      <c r="AZ65" s="82"/>
      <c r="BA65" s="82"/>
      <c r="BB65" s="82"/>
      <c r="BC65" s="82"/>
      <c r="BD65" s="82"/>
      <c r="BE65" s="82"/>
      <c r="BF65" s="82"/>
    </row>
    <row r="66" spans="2:60">
      <c r="B66" s="114" t="s">
        <v>609</v>
      </c>
      <c r="C66" s="127">
        <f>SAP!D167</f>
        <v>3.803801960613622</v>
      </c>
      <c r="D66" s="131" t="str">
        <f>IF(IF(D$39&lt;=$C66,D$26,(((D$39-$C66)/SAP!$C$10)*'C&amp;B'!$D$13/SAP!$C$143)+D$26)&lt;=SAP!$E$151,IF(D$39&lt;=$C66,D$26,(((D$39-$C66)/SAP!$C$10)*'C&amp;B'!$D$13/SAP!$C$143)+D$26),"Not Possible")</f>
        <v>Not Possible</v>
      </c>
      <c r="E66" s="131" t="str">
        <f>IF(IF(E$39&lt;=$C66,E$26,(((E$39-$C66)/SAP!$C$10)*'C&amp;B'!$D$13/SAP!$C$143)+E$26)&lt;=SAP!$E$151,IF(E$39&lt;=$C66,E$26,(((E$39-$C66)/SAP!$C$10)*'C&amp;B'!$D$13/SAP!$C$143)+E$26),"Not Possible")</f>
        <v>Not Possible</v>
      </c>
      <c r="F66" s="131">
        <f>IF(IF(F$39&lt;=$C66,F$26,(((F$39-$C66)/SAP!$C$10)*'C&amp;B'!$D$13/SAP!$C$143)+F$26)&lt;=SAP!$E$151,IF(F$39&lt;=$C66,F$26,(((F$39-$C66)/SAP!$C$10)*'C&amp;B'!$D$13/SAP!$C$143)+F$26),"Not Possible")</f>
        <v>0.1280641403175059</v>
      </c>
      <c r="G66" s="131" t="str">
        <f>IF(IF(G$39&lt;=$C66,G$26,(((G$39-$C66)/SAP!$C$10)*'C&amp;B'!$D$13/SAP!$C$143)+G$26)&lt;=SAP!$E$151,IF(G$39&lt;=$C66,G$26,(((G$39-$C66)/SAP!$C$10)*'C&amp;B'!$D$13/SAP!$C$143)+G$26),"Not Possible")</f>
        <v>Not Possible</v>
      </c>
      <c r="H66" s="131">
        <f>IF(IF(H$39&lt;=$C66,H$26,(((H$39-$C66)/SAP!$C$10)*'C&amp;B'!$D$13/SAP!$C$143)+H$26)&lt;=SAP!$E$151,IF(H$39&lt;=$C66,H$26,(((H$39-$C66)/SAP!$C$10)*'C&amp;B'!$D$13/SAP!$C$143)+H$26),"Not Possible")</f>
        <v>8.4593154814295954E-2</v>
      </c>
      <c r="I66" s="131" t="str">
        <f>IF(IF(I$39&lt;=$C66,I$26,(((I$39-$C66)/SAP!$C$10)*'C&amp;B'!$D$13/SAP!$C$143)+I$26)&lt;=SAP!$E$151,IF(I$39&lt;=$C66,I$26,(((I$39-$C66)/SAP!$C$10)*'C&amp;B'!$D$13/SAP!$C$143)+I$26),"Not Possible")</f>
        <v>Not Possible</v>
      </c>
      <c r="J66" s="131">
        <f>IF(IF(J$39&lt;=$C66,J$26,(((J$39-$C66)/SAP!$C$10)*'C&amp;B'!$D$13/SAP!$C$143)+J$26)&lt;=SAP!$E$151,IF(J$39&lt;=$C66,J$26,(((J$39-$C66)/SAP!$C$10)*'C&amp;B'!$D$13/SAP!$C$143)+J$26),"Not Possible")</f>
        <v>0.67958228039426571</v>
      </c>
      <c r="K66" s="131" t="str">
        <f>IF(IF(K$39&lt;=$C66,K$26,(((K$39-$C66)/SAP!$C$10)*'C&amp;B'!$D$13/SAP!$C$143)+K$26)&lt;=SAP!$E$151,IF(K$39&lt;=$C66,K$26,(((K$39-$C66)/SAP!$C$10)*'C&amp;B'!$D$13/SAP!$C$143)+K$26),"Not Possible")</f>
        <v>Not Possible</v>
      </c>
      <c r="L66" s="131">
        <f>IF(IF(L$39&lt;=$C66,L$26,(((L$39-$C66)/SAP!$C$10)*'C&amp;B'!$D$13/SAP!$C$143)+L$26)&lt;=SAP!$E$151,IF(L$39&lt;=$C66,L$26,(((L$39-$C66)/SAP!$C$10)*'C&amp;B'!$D$13/SAP!$C$143)+L$26),"Not Possible")</f>
        <v>0.67958228039426571</v>
      </c>
      <c r="M66" s="131" t="str">
        <f>IF(IF(M$39&lt;=$C66,M$26,(((M$39-$C66)/SAP!$C$10)*'C&amp;B'!$D$13/SAP!$C$143)+M$26)&lt;=SAP!$E$151,IF(M$39&lt;=$C66,M$26,(((M$39-$C66)/SAP!$C$10)*'C&amp;B'!$D$13/SAP!$C$143)+M$26),"Not Possible")</f>
        <v>Not Possible</v>
      </c>
      <c r="N66" s="131">
        <f>IF(IF(N$39&lt;=$C66,N$26,(((N$39-$C66)/SAP!$C$10)*'C&amp;B'!$D$13/SAP!$C$143)+N$26)&lt;=SAP!$E$151,IF(N$39&lt;=$C66,N$26,(((N$39-$C66)/SAP!$C$10)*'C&amp;B'!$D$13/SAP!$C$143)+N$26),"Not Possible")</f>
        <v>0.67958228039426571</v>
      </c>
      <c r="O66" s="131" t="str">
        <f>IF(IF(O$39&lt;=$C66,O$26,(((O$39-$C66)/SAP!$C$10)*'C&amp;B'!$D$13/SAP!$C$143)+O$26)&lt;=SAP!$E$151,IF(O$39&lt;=$C66,O$26,(((O$39-$C66)/SAP!$C$10)*'C&amp;B'!$D$13/SAP!$C$143)+O$26),"Not Possible")</f>
        <v>Not Possible</v>
      </c>
      <c r="P66" s="131">
        <f>IF(IF(P$39&lt;=$C66,P$26,(((P$39-$C66)/SAP!$C$10)*'C&amp;B'!$D$13/SAP!$C$143)+P$26)&lt;=SAP!$E$151,IF(P$39&lt;=$C66,P$26,(((P$39-$C66)/SAP!$C$10)*'C&amp;B'!$D$13/SAP!$C$143)+P$26),"Not Possible")</f>
        <v>0.60565864240759393</v>
      </c>
      <c r="Q66" s="131" t="str">
        <f>IF(IF(Q$39&lt;=$C66,Q$26,(((Q$39-$C66)/SAP!$C$10)*'C&amp;B'!$D$13/SAP!$C$143)+Q$26)&lt;=SAP!$E$151,IF(Q$39&lt;=$C66,Q$26,(((Q$39-$C66)/SAP!$C$10)*'C&amp;B'!$D$13/SAP!$C$143)+Q$26),"Not Possible")</f>
        <v>Not Possible</v>
      </c>
      <c r="R66" s="131">
        <f>IF(IF(R$39&lt;=$C66,R$26,(((R$39-$C66)/SAP!$C$10)*'C&amp;B'!$D$13/SAP!$C$143)+R$26)&lt;=SAP!$E$151,IF(R$39&lt;=$C66,R$26,(((R$39-$C66)/SAP!$C$10)*'C&amp;B'!$D$13/SAP!$C$143)+R$26),"Not Possible")</f>
        <v>0.47696622988091125</v>
      </c>
      <c r="S66" s="131">
        <f>IF(IF(S$39&lt;=$C66,S$26,(((S$39-$C66)/SAP!$C$10)*'C&amp;B'!$D$13/SAP!$C$143)+S$26)&lt;=SAP!$E$151,IF(S$39&lt;=$C66,S$26,(((S$39-$C66)/SAP!$C$10)*'C&amp;B'!$D$13/SAP!$C$143)+S$26),"Not Possible")</f>
        <v>2.6723142302807701E-2</v>
      </c>
      <c r="T66" s="131">
        <f>IF(IF(T$39&lt;=$C66,T$26,(((T$39-$C66)/SAP!$C$10)*'C&amp;B'!$D$13/SAP!$C$143)+T$26)&lt;=SAP!$E$151,IF(T$39&lt;=$C66,T$26,(((T$39-$C66)/SAP!$C$10)*'C&amp;B'!$D$13/SAP!$C$143)+T$26),"Not Possible")</f>
        <v>0.36189556731901829</v>
      </c>
      <c r="V66" s="130" t="s">
        <v>609</v>
      </c>
      <c r="W66" s="82" t="e">
        <f>IF(D66=0,0,IF(D66&lt;4,'C&amp;B'!$E$316+(D66*'C&amp;B'!$E$317),D66*'C&amp;B'!$E$318))</f>
        <v>#VALUE!</v>
      </c>
      <c r="X66" s="82" t="e">
        <f>IF(E66=0,0,IF(E66&lt;4,'C&amp;B'!$E$316+(E66*'C&amp;B'!$E$317),E66*'C&amp;B'!$E$318))</f>
        <v>#VALUE!</v>
      </c>
      <c r="Y66" s="82">
        <f>IF(F66=0,0,IF(F66&lt;4,'C&amp;B'!$E$316+(F66*'C&amp;B'!$E$317),F66*'C&amp;B'!$E$318))</f>
        <v>1176.8384841905036</v>
      </c>
      <c r="Z66" s="82" t="e">
        <f>IF(G66=0,0,IF(G66&lt;4,'C&amp;B'!$E$316+(G66*'C&amp;B'!$E$317),G66*'C&amp;B'!$E$318))</f>
        <v>#VALUE!</v>
      </c>
      <c r="AA66" s="82">
        <f>IF(H66=0,0,IF(H66&lt;4,'C&amp;B'!$E$316+(H66*'C&amp;B'!$E$317),H66*'C&amp;B'!$E$318))</f>
        <v>1150.7558928885776</v>
      </c>
      <c r="AB66" s="82" t="e">
        <f>IF(I66=0,0,IF(I66&lt;4,'C&amp;B'!$E$316+(I66*'C&amp;B'!$E$317),I66*'C&amp;B'!$E$318))</f>
        <v>#VALUE!</v>
      </c>
      <c r="AC66" s="82">
        <f>IF(J66=0,0,IF(J66&lt;4,'C&amp;B'!$E$316+(J66*'C&amp;B'!$E$317),J66*'C&amp;B'!$E$318))</f>
        <v>1507.7493682365593</v>
      </c>
      <c r="AD66" s="82" t="e">
        <f>IF(K66=0,0,IF(K66&lt;4,'C&amp;B'!$E$316+(K66*'C&amp;B'!$E$317),K66*'C&amp;B'!$E$318))</f>
        <v>#VALUE!</v>
      </c>
      <c r="AE66" s="82">
        <f>IF(L66=0,0,IF(L66&lt;4,'C&amp;B'!$E$316+(L66*'C&amp;B'!$E$317),L66*'C&amp;B'!$E$318))</f>
        <v>1507.7493682365593</v>
      </c>
      <c r="AF66" s="82" t="e">
        <f>IF(M66=0,0,IF(M66&lt;4,'C&amp;B'!$E$316+(M66*'C&amp;B'!$E$317),M66*'C&amp;B'!$E$318))</f>
        <v>#VALUE!</v>
      </c>
      <c r="AG66" s="82">
        <f>IF(N66=0,0,IF(N66&lt;4,'C&amp;B'!$E$316+(N66*'C&amp;B'!$E$317),N66*'C&amp;B'!$E$318))</f>
        <v>1507.7493682365593</v>
      </c>
      <c r="AH66" s="82" t="e">
        <f>IF(O66=0,0,IF(O66&lt;4,'C&amp;B'!$E$316+(O66*'C&amp;B'!$E$317),O66*'C&amp;B'!$E$318))</f>
        <v>#VALUE!</v>
      </c>
      <c r="AI66" s="82">
        <f>IF(P66=0,0,IF(P66&lt;4,'C&amp;B'!$E$316+(P66*'C&amp;B'!$E$317),P66*'C&amp;B'!$E$318))</f>
        <v>1463.3951854445563</v>
      </c>
      <c r="AJ66" s="82" t="e">
        <f>IF(Q66=0,0,IF(Q66&lt;4,'C&amp;B'!$E$316+(Q66*'C&amp;B'!$E$317),Q66*'C&amp;B'!$E$318))</f>
        <v>#VALUE!</v>
      </c>
      <c r="AK66" s="82">
        <f>IF(R66=0,0,IF(R66&lt;4,'C&amp;B'!$E$316+(R66*'C&amp;B'!$E$317),R66*'C&amp;B'!$E$318))</f>
        <v>1386.1797379285467</v>
      </c>
      <c r="AL66" s="82">
        <f>IF(S66=0,0,IF(S66&lt;4,'C&amp;B'!$E$316+(S66*'C&amp;B'!$E$317),S66*'C&amp;B'!$E$318))</f>
        <v>1116.0338853816845</v>
      </c>
      <c r="AM66" s="82">
        <f>IF(T66=0,0,IF(T66&lt;4,'C&amp;B'!$E$316+(T66*'C&amp;B'!$E$317),T66*'C&amp;B'!$E$318))</f>
        <v>1317.137340391411</v>
      </c>
      <c r="AO66" s="130" t="s">
        <v>609</v>
      </c>
      <c r="AP66" s="82" t="e">
        <f>AP$27-AP$26+W66</f>
        <v>#VALUE!</v>
      </c>
      <c r="AQ66" s="82" t="e">
        <f t="shared" ref="AQ66:BF72" si="28">AQ$27-AQ$26+X66</f>
        <v>#VALUE!</v>
      </c>
      <c r="AR66" s="82">
        <f t="shared" si="28"/>
        <v>25546.838484190503</v>
      </c>
      <c r="AS66" s="82" t="e">
        <f t="shared" si="28"/>
        <v>#VALUE!</v>
      </c>
      <c r="AT66" s="82">
        <f t="shared" si="28"/>
        <v>25233.755892888577</v>
      </c>
      <c r="AU66" s="82" t="e">
        <f t="shared" si="28"/>
        <v>#VALUE!</v>
      </c>
      <c r="AV66" s="82">
        <f t="shared" si="28"/>
        <v>26945.74936823656</v>
      </c>
      <c r="AW66" s="82" t="e">
        <f t="shared" si="28"/>
        <v>#VALUE!</v>
      </c>
      <c r="AX66" s="82">
        <f t="shared" si="28"/>
        <v>26945.74936823656</v>
      </c>
      <c r="AY66" s="82" t="e">
        <f t="shared" si="28"/>
        <v>#VALUE!</v>
      </c>
      <c r="AZ66" s="82">
        <f t="shared" si="28"/>
        <v>26945.74936823656</v>
      </c>
      <c r="BA66" s="82" t="e">
        <f t="shared" si="28"/>
        <v>#VALUE!</v>
      </c>
      <c r="BB66" s="82">
        <f t="shared" si="28"/>
        <v>26901.395185444555</v>
      </c>
      <c r="BC66" s="82" t="e">
        <f t="shared" si="28"/>
        <v>#VALUE!</v>
      </c>
      <c r="BD66" s="82">
        <f t="shared" si="28"/>
        <v>27099.179737928545</v>
      </c>
      <c r="BE66" s="82">
        <f t="shared" si="28"/>
        <v>26646.033885381683</v>
      </c>
      <c r="BF66" s="82">
        <f t="shared" si="28"/>
        <v>25687.137340391411</v>
      </c>
      <c r="BH66" s="4"/>
    </row>
    <row r="67" spans="2:60">
      <c r="B67" s="114" t="s">
        <v>610</v>
      </c>
      <c r="C67" s="127">
        <f>SAP!D168</f>
        <v>3.42342176455226</v>
      </c>
      <c r="D67" s="131" t="str">
        <f>IF(IF(D$39&lt;=$C67,D$26,(((D$39-$C67)/SAP!$C$10)*'C&amp;B'!$D$13/SAP!$C$143)+D$26)&lt;=SAP!$E$151,IF(D$39&lt;=$C67,D$26,(((D$39-$C67)/SAP!$C$10)*'C&amp;B'!$D$13/SAP!$C$143)+D$26),"Not Possible")</f>
        <v>Not Possible</v>
      </c>
      <c r="E67" s="131" t="str">
        <f>IF(IF(E$39&lt;=$C67,E$26,(((E$39-$C67)/SAP!$C$10)*'C&amp;B'!$D$13/SAP!$C$143)+E$26)&lt;=SAP!$E$151,IF(E$39&lt;=$C67,E$26,(((E$39-$C67)/SAP!$C$10)*'C&amp;B'!$D$13/SAP!$C$143)+E$26),"Not Possible")</f>
        <v>Not Possible</v>
      </c>
      <c r="F67" s="131">
        <f>IF(IF(F$39&lt;=$C67,F$26,(((F$39-$C67)/SAP!$C$10)*'C&amp;B'!$D$13/SAP!$C$143)+F$26)&lt;=SAP!$E$151,IF(F$39&lt;=$C67,F$26,(((F$39-$C67)/SAP!$C$10)*'C&amp;B'!$D$13/SAP!$C$143)+F$26),"Not Possible")</f>
        <v>0.38844735897978955</v>
      </c>
      <c r="G67" s="131" t="str">
        <f>IF(IF(G$39&lt;=$C67,G$26,(((G$39-$C67)/SAP!$C$10)*'C&amp;B'!$D$13/SAP!$C$143)+G$26)&lt;=SAP!$E$151,IF(G$39&lt;=$C67,G$26,(((G$39-$C67)/SAP!$C$10)*'C&amp;B'!$D$13/SAP!$C$143)+G$26),"Not Possible")</f>
        <v>Not Possible</v>
      </c>
      <c r="H67" s="131">
        <f>IF(IF(H$39&lt;=$C67,H$26,(((H$39-$C67)/SAP!$C$10)*'C&amp;B'!$D$13/SAP!$C$143)+H$26)&lt;=SAP!$E$151,IF(H$39&lt;=$C67,H$26,(((H$39-$C67)/SAP!$C$10)*'C&amp;B'!$D$13/SAP!$C$143)+H$26),"Not Possible")</f>
        <v>0.34497637347657961</v>
      </c>
      <c r="I67" s="131" t="str">
        <f>IF(IF(I$39&lt;=$C67,I$26,(((I$39-$C67)/SAP!$C$10)*'C&amp;B'!$D$13/SAP!$C$143)+I$26)&lt;=SAP!$E$151,IF(I$39&lt;=$C67,I$26,(((I$39-$C67)/SAP!$C$10)*'C&amp;B'!$D$13/SAP!$C$143)+I$26),"Not Possible")</f>
        <v>Not Possible</v>
      </c>
      <c r="J67" s="131">
        <f>IF(IF(J$39&lt;=$C67,J$26,(((J$39-$C67)/SAP!$C$10)*'C&amp;B'!$D$13/SAP!$C$143)+J$26)&lt;=SAP!$E$151,IF(J$39&lt;=$C67,J$26,(((J$39-$C67)/SAP!$C$10)*'C&amp;B'!$D$13/SAP!$C$143)+J$26),"Not Possible")</f>
        <v>0.93996549905654936</v>
      </c>
      <c r="K67" s="131" t="str">
        <f>IF(IF(K$39&lt;=$C67,K$26,(((K$39-$C67)/SAP!$C$10)*'C&amp;B'!$D$13/SAP!$C$143)+K$26)&lt;=SAP!$E$151,IF(K$39&lt;=$C67,K$26,(((K$39-$C67)/SAP!$C$10)*'C&amp;B'!$D$13/SAP!$C$143)+K$26),"Not Possible")</f>
        <v>Not Possible</v>
      </c>
      <c r="L67" s="131">
        <f>IF(IF(L$39&lt;=$C67,L$26,(((L$39-$C67)/SAP!$C$10)*'C&amp;B'!$D$13/SAP!$C$143)+L$26)&lt;=SAP!$E$151,IF(L$39&lt;=$C67,L$26,(((L$39-$C67)/SAP!$C$10)*'C&amp;B'!$D$13/SAP!$C$143)+L$26),"Not Possible")</f>
        <v>0.93996549905654936</v>
      </c>
      <c r="M67" s="131" t="str">
        <f>IF(IF(M$39&lt;=$C67,M$26,(((M$39-$C67)/SAP!$C$10)*'C&amp;B'!$D$13/SAP!$C$143)+M$26)&lt;=SAP!$E$151,IF(M$39&lt;=$C67,M$26,(((M$39-$C67)/SAP!$C$10)*'C&amp;B'!$D$13/SAP!$C$143)+M$26),"Not Possible")</f>
        <v>Not Possible</v>
      </c>
      <c r="N67" s="131">
        <f>IF(IF(N$39&lt;=$C67,N$26,(((N$39-$C67)/SAP!$C$10)*'C&amp;B'!$D$13/SAP!$C$143)+N$26)&lt;=SAP!$E$151,IF(N$39&lt;=$C67,N$26,(((N$39-$C67)/SAP!$C$10)*'C&amp;B'!$D$13/SAP!$C$143)+N$26),"Not Possible")</f>
        <v>0.93996549905654936</v>
      </c>
      <c r="O67" s="131" t="str">
        <f>IF(IF(O$39&lt;=$C67,O$26,(((O$39-$C67)/SAP!$C$10)*'C&amp;B'!$D$13/SAP!$C$143)+O$26)&lt;=SAP!$E$151,IF(O$39&lt;=$C67,O$26,(((O$39-$C67)/SAP!$C$10)*'C&amp;B'!$D$13/SAP!$C$143)+O$26),"Not Possible")</f>
        <v>Not Possible</v>
      </c>
      <c r="P67" s="131">
        <f>IF(IF(P$39&lt;=$C67,P$26,(((P$39-$C67)/SAP!$C$10)*'C&amp;B'!$D$13/SAP!$C$143)+P$26)&lt;=SAP!$E$151,IF(P$39&lt;=$C67,P$26,(((P$39-$C67)/SAP!$C$10)*'C&amp;B'!$D$13/SAP!$C$143)+P$26),"Not Possible")</f>
        <v>0.86604186106987746</v>
      </c>
      <c r="Q67" s="131" t="str">
        <f>IF(IF(Q$39&lt;=$C67,Q$26,(((Q$39-$C67)/SAP!$C$10)*'C&amp;B'!$D$13/SAP!$C$143)+Q$26)&lt;=SAP!$E$151,IF(Q$39&lt;=$C67,Q$26,(((Q$39-$C67)/SAP!$C$10)*'C&amp;B'!$D$13/SAP!$C$143)+Q$26),"Not Possible")</f>
        <v>Not Possible</v>
      </c>
      <c r="R67" s="131">
        <f>IF(IF(R$39&lt;=$C67,R$26,(((R$39-$C67)/SAP!$C$10)*'C&amp;B'!$D$13/SAP!$C$143)+R$26)&lt;=SAP!$E$151,IF(R$39&lt;=$C67,R$26,(((R$39-$C67)/SAP!$C$10)*'C&amp;B'!$D$13/SAP!$C$143)+R$26),"Not Possible")</f>
        <v>0.73734944854319473</v>
      </c>
      <c r="S67" s="131">
        <f>IF(IF(S$39&lt;=$C67,S$26,(((S$39-$C67)/SAP!$C$10)*'C&amp;B'!$D$13/SAP!$C$143)+S$26)&lt;=SAP!$E$151,IF(S$39&lt;=$C67,S$26,(((S$39-$C67)/SAP!$C$10)*'C&amp;B'!$D$13/SAP!$C$143)+S$26),"Not Possible")</f>
        <v>0.28710636096509135</v>
      </c>
      <c r="T67" s="131">
        <f>IF(IF(T$39&lt;=$C67,T$26,(((T$39-$C67)/SAP!$C$10)*'C&amp;B'!$D$13/SAP!$C$143)+T$26)&lt;=SAP!$E$151,IF(T$39&lt;=$C67,T$26,(((T$39-$C67)/SAP!$C$10)*'C&amp;B'!$D$13/SAP!$C$143)+T$26),"Not Possible")</f>
        <v>0.62227878598130193</v>
      </c>
      <c r="V67" s="130" t="s">
        <v>610</v>
      </c>
      <c r="W67" s="82" t="e">
        <f>IF(D67=0,0,IF(D67&lt;4,'C&amp;B'!$E$316+(D67*'C&amp;B'!$E$317),D67*'C&amp;B'!$E$318))</f>
        <v>#VALUE!</v>
      </c>
      <c r="X67" s="82" t="e">
        <f>IF(E67=0,0,IF(E67&lt;4,'C&amp;B'!$E$316+(E67*'C&amp;B'!$E$317),E67*'C&amp;B'!$E$318))</f>
        <v>#VALUE!</v>
      </c>
      <c r="Y67" s="82">
        <f>IF(F67=0,0,IF(F67&lt;4,'C&amp;B'!$E$316+(F67*'C&amp;B'!$E$317),F67*'C&amp;B'!$E$318))</f>
        <v>1333.0684153878738</v>
      </c>
      <c r="Z67" s="82" t="e">
        <f>IF(G67=0,0,IF(G67&lt;4,'C&amp;B'!$E$316+(G67*'C&amp;B'!$E$317),G67*'C&amp;B'!$E$318))</f>
        <v>#VALUE!</v>
      </c>
      <c r="AA67" s="82">
        <f>IF(H67=0,0,IF(H67&lt;4,'C&amp;B'!$E$316+(H67*'C&amp;B'!$E$317),H67*'C&amp;B'!$E$318))</f>
        <v>1306.9858240859478</v>
      </c>
      <c r="AB67" s="82" t="e">
        <f>IF(I67=0,0,IF(I67&lt;4,'C&amp;B'!$E$316+(I67*'C&amp;B'!$E$317),I67*'C&amp;B'!$E$318))</f>
        <v>#VALUE!</v>
      </c>
      <c r="AC67" s="82">
        <f>IF(J67=0,0,IF(J67&lt;4,'C&amp;B'!$E$316+(J67*'C&amp;B'!$E$317),J67*'C&amp;B'!$E$318))</f>
        <v>1663.9792994339296</v>
      </c>
      <c r="AD67" s="82" t="e">
        <f>IF(K67=0,0,IF(K67&lt;4,'C&amp;B'!$E$316+(K67*'C&amp;B'!$E$317),K67*'C&amp;B'!$E$318))</f>
        <v>#VALUE!</v>
      </c>
      <c r="AE67" s="82">
        <f>IF(L67=0,0,IF(L67&lt;4,'C&amp;B'!$E$316+(L67*'C&amp;B'!$E$317),L67*'C&amp;B'!$E$318))</f>
        <v>1663.9792994339296</v>
      </c>
      <c r="AF67" s="82" t="e">
        <f>IF(M67=0,0,IF(M67&lt;4,'C&amp;B'!$E$316+(M67*'C&amp;B'!$E$317),M67*'C&amp;B'!$E$318))</f>
        <v>#VALUE!</v>
      </c>
      <c r="AG67" s="82">
        <f>IF(N67=0,0,IF(N67&lt;4,'C&amp;B'!$E$316+(N67*'C&amp;B'!$E$317),N67*'C&amp;B'!$E$318))</f>
        <v>1663.9792994339296</v>
      </c>
      <c r="AH67" s="82" t="e">
        <f>IF(O67=0,0,IF(O67&lt;4,'C&amp;B'!$E$316+(O67*'C&amp;B'!$E$317),O67*'C&amp;B'!$E$318))</f>
        <v>#VALUE!</v>
      </c>
      <c r="AI67" s="82">
        <f>IF(P67=0,0,IF(P67&lt;4,'C&amp;B'!$E$316+(P67*'C&amp;B'!$E$317),P67*'C&amp;B'!$E$318))</f>
        <v>1619.6251166419265</v>
      </c>
      <c r="AJ67" s="82" t="e">
        <f>IF(Q67=0,0,IF(Q67&lt;4,'C&amp;B'!$E$316+(Q67*'C&amp;B'!$E$317),Q67*'C&amp;B'!$E$318))</f>
        <v>#VALUE!</v>
      </c>
      <c r="AK67" s="82">
        <f>IF(R67=0,0,IF(R67&lt;4,'C&amp;B'!$E$316+(R67*'C&amp;B'!$E$317),R67*'C&amp;B'!$E$318))</f>
        <v>1542.4096691259169</v>
      </c>
      <c r="AL67" s="82">
        <f>IF(S67=0,0,IF(S67&lt;4,'C&amp;B'!$E$316+(S67*'C&amp;B'!$E$317),S67*'C&amp;B'!$E$318))</f>
        <v>1272.2638165790547</v>
      </c>
      <c r="AM67" s="82">
        <f>IF(T67=0,0,IF(T67&lt;4,'C&amp;B'!$E$316+(T67*'C&amp;B'!$E$317),T67*'C&amp;B'!$E$318))</f>
        <v>1473.367271588781</v>
      </c>
      <c r="AO67" s="130" t="s">
        <v>610</v>
      </c>
      <c r="AP67" s="82" t="e">
        <f t="shared" ref="AP67:AP72" si="29">AP$27-AP$26+W67</f>
        <v>#VALUE!</v>
      </c>
      <c r="AQ67" s="82" t="e">
        <f t="shared" si="28"/>
        <v>#VALUE!</v>
      </c>
      <c r="AR67" s="82">
        <f t="shared" si="28"/>
        <v>25703.068415387876</v>
      </c>
      <c r="AS67" s="82" t="e">
        <f t="shared" si="28"/>
        <v>#VALUE!</v>
      </c>
      <c r="AT67" s="82">
        <f t="shared" si="28"/>
        <v>25389.985824085947</v>
      </c>
      <c r="AU67" s="82" t="e">
        <f t="shared" si="28"/>
        <v>#VALUE!</v>
      </c>
      <c r="AV67" s="82">
        <f t="shared" si="28"/>
        <v>27101.97929943393</v>
      </c>
      <c r="AW67" s="82" t="e">
        <f t="shared" si="28"/>
        <v>#VALUE!</v>
      </c>
      <c r="AX67" s="82">
        <f t="shared" si="28"/>
        <v>27101.97929943393</v>
      </c>
      <c r="AY67" s="82" t="e">
        <f t="shared" si="28"/>
        <v>#VALUE!</v>
      </c>
      <c r="AZ67" s="82">
        <f t="shared" si="28"/>
        <v>27101.97929943393</v>
      </c>
      <c r="BA67" s="82" t="e">
        <f t="shared" si="28"/>
        <v>#VALUE!</v>
      </c>
      <c r="BB67" s="82">
        <f t="shared" si="28"/>
        <v>27057.625116641928</v>
      </c>
      <c r="BC67" s="82" t="e">
        <f t="shared" si="28"/>
        <v>#VALUE!</v>
      </c>
      <c r="BD67" s="82">
        <f t="shared" si="28"/>
        <v>27255.409669125918</v>
      </c>
      <c r="BE67" s="82">
        <f t="shared" si="28"/>
        <v>26802.263816579056</v>
      </c>
      <c r="BF67" s="82">
        <f t="shared" si="28"/>
        <v>25843.367271588781</v>
      </c>
    </row>
    <row r="68" spans="2:60">
      <c r="B68" s="114" t="s">
        <v>611</v>
      </c>
      <c r="C68" s="127">
        <f>SAP!D169</f>
        <v>3.0430415684908976</v>
      </c>
      <c r="D68" s="131" t="str">
        <f>IF(IF(D$39&lt;=$C68,D$26,(((D$39-$C68)/SAP!$C$10)*'C&amp;B'!$D$13/SAP!$C$143)+D$26)&lt;=SAP!$E$151,IF(D$39&lt;=$C68,D$26,(((D$39-$C68)/SAP!$C$10)*'C&amp;B'!$D$13/SAP!$C$143)+D$26),"Not Possible")</f>
        <v>Not Possible</v>
      </c>
      <c r="E68" s="131" t="str">
        <f>IF(IF(E$39&lt;=$C68,E$26,(((E$39-$C68)/SAP!$C$10)*'C&amp;B'!$D$13/SAP!$C$143)+E$26)&lt;=SAP!$E$151,IF(E$39&lt;=$C68,E$26,(((E$39-$C68)/SAP!$C$10)*'C&amp;B'!$D$13/SAP!$C$143)+E$26),"Not Possible")</f>
        <v>Not Possible</v>
      </c>
      <c r="F68" s="131">
        <f>IF(IF(F$39&lt;=$C68,F$26,(((F$39-$C68)/SAP!$C$10)*'C&amp;B'!$D$13/SAP!$C$143)+F$26)&lt;=SAP!$E$151,IF(F$39&lt;=$C68,F$26,(((F$39-$C68)/SAP!$C$10)*'C&amp;B'!$D$13/SAP!$C$143)+F$26),"Not Possible")</f>
        <v>0.64883057764207352</v>
      </c>
      <c r="G68" s="131" t="str">
        <f>IF(IF(G$39&lt;=$C68,G$26,(((G$39-$C68)/SAP!$C$10)*'C&amp;B'!$D$13/SAP!$C$143)+G$26)&lt;=SAP!$E$151,IF(G$39&lt;=$C68,G$26,(((G$39-$C68)/SAP!$C$10)*'C&amp;B'!$D$13/SAP!$C$143)+G$26),"Not Possible")</f>
        <v>Not Possible</v>
      </c>
      <c r="H68" s="131">
        <f>IF(IF(H$39&lt;=$C68,H$26,(((H$39-$C68)/SAP!$C$10)*'C&amp;B'!$D$13/SAP!$C$143)+H$26)&lt;=SAP!$E$151,IF(H$39&lt;=$C68,H$26,(((H$39-$C68)/SAP!$C$10)*'C&amp;B'!$D$13/SAP!$C$143)+H$26),"Not Possible")</f>
        <v>0.60535959213886359</v>
      </c>
      <c r="I68" s="131" t="str">
        <f>IF(IF(I$39&lt;=$C68,I$26,(((I$39-$C68)/SAP!$C$10)*'C&amp;B'!$D$13/SAP!$C$143)+I$26)&lt;=SAP!$E$151,IF(I$39&lt;=$C68,I$26,(((I$39-$C68)/SAP!$C$10)*'C&amp;B'!$D$13/SAP!$C$143)+I$26),"Not Possible")</f>
        <v>Not Possible</v>
      </c>
      <c r="J68" s="131">
        <f>IF(IF(J$39&lt;=$C68,J$26,(((J$39-$C68)/SAP!$C$10)*'C&amp;B'!$D$13/SAP!$C$143)+J$26)&lt;=SAP!$E$151,IF(J$39&lt;=$C68,J$26,(((J$39-$C68)/SAP!$C$10)*'C&amp;B'!$D$13/SAP!$C$143)+J$26),"Not Possible")</f>
        <v>1.2003487177188334</v>
      </c>
      <c r="K68" s="131" t="str">
        <f>IF(IF(K$39&lt;=$C68,K$26,(((K$39-$C68)/SAP!$C$10)*'C&amp;B'!$D$13/SAP!$C$143)+K$26)&lt;=SAP!$E$151,IF(K$39&lt;=$C68,K$26,(((K$39-$C68)/SAP!$C$10)*'C&amp;B'!$D$13/SAP!$C$143)+K$26),"Not Possible")</f>
        <v>Not Possible</v>
      </c>
      <c r="L68" s="131">
        <f>IF(IF(L$39&lt;=$C68,L$26,(((L$39-$C68)/SAP!$C$10)*'C&amp;B'!$D$13/SAP!$C$143)+L$26)&lt;=SAP!$E$151,IF(L$39&lt;=$C68,L$26,(((L$39-$C68)/SAP!$C$10)*'C&amp;B'!$D$13/SAP!$C$143)+L$26),"Not Possible")</f>
        <v>1.2003487177188334</v>
      </c>
      <c r="M68" s="131" t="str">
        <f>IF(IF(M$39&lt;=$C68,M$26,(((M$39-$C68)/SAP!$C$10)*'C&amp;B'!$D$13/SAP!$C$143)+M$26)&lt;=SAP!$E$151,IF(M$39&lt;=$C68,M$26,(((M$39-$C68)/SAP!$C$10)*'C&amp;B'!$D$13/SAP!$C$143)+M$26),"Not Possible")</f>
        <v>Not Possible</v>
      </c>
      <c r="N68" s="131">
        <f>IF(IF(N$39&lt;=$C68,N$26,(((N$39-$C68)/SAP!$C$10)*'C&amp;B'!$D$13/SAP!$C$143)+N$26)&lt;=SAP!$E$151,IF(N$39&lt;=$C68,N$26,(((N$39-$C68)/SAP!$C$10)*'C&amp;B'!$D$13/SAP!$C$143)+N$26),"Not Possible")</f>
        <v>1.2003487177188334</v>
      </c>
      <c r="O68" s="131" t="str">
        <f>IF(IF(O$39&lt;=$C68,O$26,(((O$39-$C68)/SAP!$C$10)*'C&amp;B'!$D$13/SAP!$C$143)+O$26)&lt;=SAP!$E$151,IF(O$39&lt;=$C68,O$26,(((O$39-$C68)/SAP!$C$10)*'C&amp;B'!$D$13/SAP!$C$143)+O$26),"Not Possible")</f>
        <v>Not Possible</v>
      </c>
      <c r="P68" s="131">
        <f>IF(IF(P$39&lt;=$C68,P$26,(((P$39-$C68)/SAP!$C$10)*'C&amp;B'!$D$13/SAP!$C$143)+P$26)&lt;=SAP!$E$151,IF(P$39&lt;=$C68,P$26,(((P$39-$C68)/SAP!$C$10)*'C&amp;B'!$D$13/SAP!$C$143)+P$26),"Not Possible")</f>
        <v>1.1264250797321615</v>
      </c>
      <c r="Q68" s="131" t="str">
        <f>IF(IF(Q$39&lt;=$C68,Q$26,(((Q$39-$C68)/SAP!$C$10)*'C&amp;B'!$D$13/SAP!$C$143)+Q$26)&lt;=SAP!$E$151,IF(Q$39&lt;=$C68,Q$26,(((Q$39-$C68)/SAP!$C$10)*'C&amp;B'!$D$13/SAP!$C$143)+Q$26),"Not Possible")</f>
        <v>Not Possible</v>
      </c>
      <c r="R68" s="131">
        <f>IF(IF(R$39&lt;=$C68,R$26,(((R$39-$C68)/SAP!$C$10)*'C&amp;B'!$D$13/SAP!$C$143)+R$26)&lt;=SAP!$E$151,IF(R$39&lt;=$C68,R$26,(((R$39-$C68)/SAP!$C$10)*'C&amp;B'!$D$13/SAP!$C$143)+R$26),"Not Possible")</f>
        <v>0.99773266720547871</v>
      </c>
      <c r="S68" s="131">
        <f>IF(IF(S$39&lt;=$C68,S$26,(((S$39-$C68)/SAP!$C$10)*'C&amp;B'!$D$13/SAP!$C$143)+S$26)&lt;=SAP!$E$151,IF(S$39&lt;=$C68,S$26,(((S$39-$C68)/SAP!$C$10)*'C&amp;B'!$D$13/SAP!$C$143)+S$26),"Not Possible")</f>
        <v>0.54748957962737521</v>
      </c>
      <c r="T68" s="131">
        <f>IF(IF(T$39&lt;=$C68,T$26,(((T$39-$C68)/SAP!$C$10)*'C&amp;B'!$D$13/SAP!$C$143)+T$26)&lt;=SAP!$E$151,IF(T$39&lt;=$C68,T$26,(((T$39-$C68)/SAP!$C$10)*'C&amp;B'!$D$13/SAP!$C$143)+T$26),"Not Possible")</f>
        <v>0.88266200464358602</v>
      </c>
      <c r="V68" s="130" t="s">
        <v>611</v>
      </c>
      <c r="W68" s="82" t="e">
        <f>IF(D68=0,0,IF(D68&lt;4,'C&amp;B'!$E$316+(D68*'C&amp;B'!$E$317),D68*'C&amp;B'!$E$318))</f>
        <v>#VALUE!</v>
      </c>
      <c r="X68" s="82" t="e">
        <f>IF(E68=0,0,IF(E68&lt;4,'C&amp;B'!$E$316+(E68*'C&amp;B'!$E$317),E68*'C&amp;B'!$E$318))</f>
        <v>#VALUE!</v>
      </c>
      <c r="Y68" s="82">
        <f>IF(F68=0,0,IF(F68&lt;4,'C&amp;B'!$E$316+(F68*'C&amp;B'!$E$317),F68*'C&amp;B'!$E$318))</f>
        <v>1489.2983465852442</v>
      </c>
      <c r="Z68" s="82" t="e">
        <f>IF(G68=0,0,IF(G68&lt;4,'C&amp;B'!$E$316+(G68*'C&amp;B'!$E$317),G68*'C&amp;B'!$E$318))</f>
        <v>#VALUE!</v>
      </c>
      <c r="AA68" s="82">
        <f>IF(H68=0,0,IF(H68&lt;4,'C&amp;B'!$E$316+(H68*'C&amp;B'!$E$317),H68*'C&amp;B'!$E$318))</f>
        <v>1463.2157552833182</v>
      </c>
      <c r="AB68" s="82" t="e">
        <f>IF(I68=0,0,IF(I68&lt;4,'C&amp;B'!$E$316+(I68*'C&amp;B'!$E$317),I68*'C&amp;B'!$E$318))</f>
        <v>#VALUE!</v>
      </c>
      <c r="AC68" s="82">
        <f>IF(J68=0,0,IF(J68&lt;4,'C&amp;B'!$E$316+(J68*'C&amp;B'!$E$317),J68*'C&amp;B'!$E$318))</f>
        <v>1820.2092306313002</v>
      </c>
      <c r="AD68" s="82" t="e">
        <f>IF(K68=0,0,IF(K68&lt;4,'C&amp;B'!$E$316+(K68*'C&amp;B'!$E$317),K68*'C&amp;B'!$E$318))</f>
        <v>#VALUE!</v>
      </c>
      <c r="AE68" s="82">
        <f>IF(L68=0,0,IF(L68&lt;4,'C&amp;B'!$E$316+(L68*'C&amp;B'!$E$317),L68*'C&amp;B'!$E$318))</f>
        <v>1820.2092306313002</v>
      </c>
      <c r="AF68" s="82" t="e">
        <f>IF(M68=0,0,IF(M68&lt;4,'C&amp;B'!$E$316+(M68*'C&amp;B'!$E$317),M68*'C&amp;B'!$E$318))</f>
        <v>#VALUE!</v>
      </c>
      <c r="AG68" s="82">
        <f>IF(N68=0,0,IF(N68&lt;4,'C&amp;B'!$E$316+(N68*'C&amp;B'!$E$317),N68*'C&amp;B'!$E$318))</f>
        <v>1820.2092306313002</v>
      </c>
      <c r="AH68" s="82" t="e">
        <f>IF(O68=0,0,IF(O68&lt;4,'C&amp;B'!$E$316+(O68*'C&amp;B'!$E$317),O68*'C&amp;B'!$E$318))</f>
        <v>#VALUE!</v>
      </c>
      <c r="AI68" s="82">
        <f>IF(P68=0,0,IF(P68&lt;4,'C&amp;B'!$E$316+(P68*'C&amp;B'!$E$317),P68*'C&amp;B'!$E$318))</f>
        <v>1775.855047839297</v>
      </c>
      <c r="AJ68" s="82" t="e">
        <f>IF(Q68=0,0,IF(Q68&lt;4,'C&amp;B'!$E$316+(Q68*'C&amp;B'!$E$317),Q68*'C&amp;B'!$E$318))</f>
        <v>#VALUE!</v>
      </c>
      <c r="AK68" s="82">
        <f>IF(R68=0,0,IF(R68&lt;4,'C&amp;B'!$E$316+(R68*'C&amp;B'!$E$317),R68*'C&amp;B'!$E$318))</f>
        <v>1698.6396003232871</v>
      </c>
      <c r="AL68" s="82">
        <f>IF(S68=0,0,IF(S68&lt;4,'C&amp;B'!$E$316+(S68*'C&amp;B'!$E$317),S68*'C&amp;B'!$E$318))</f>
        <v>1428.4937477764252</v>
      </c>
      <c r="AM68" s="82">
        <f>IF(T68=0,0,IF(T68&lt;4,'C&amp;B'!$E$316+(T68*'C&amp;B'!$E$317),T68*'C&amp;B'!$E$318))</f>
        <v>1629.5972027861517</v>
      </c>
      <c r="AO68" s="130" t="s">
        <v>611</v>
      </c>
      <c r="AP68" s="82" t="e">
        <f t="shared" si="29"/>
        <v>#VALUE!</v>
      </c>
      <c r="AQ68" s="82" t="e">
        <f t="shared" si="28"/>
        <v>#VALUE!</v>
      </c>
      <c r="AR68" s="82">
        <f t="shared" si="28"/>
        <v>25859.298346585245</v>
      </c>
      <c r="AS68" s="82" t="e">
        <f t="shared" si="28"/>
        <v>#VALUE!</v>
      </c>
      <c r="AT68" s="82">
        <f t="shared" si="28"/>
        <v>25546.21575528332</v>
      </c>
      <c r="AU68" s="82" t="e">
        <f t="shared" si="28"/>
        <v>#VALUE!</v>
      </c>
      <c r="AV68" s="82">
        <f t="shared" si="28"/>
        <v>27258.209230631299</v>
      </c>
      <c r="AW68" s="82" t="e">
        <f t="shared" si="28"/>
        <v>#VALUE!</v>
      </c>
      <c r="AX68" s="82">
        <f t="shared" si="28"/>
        <v>27258.209230631299</v>
      </c>
      <c r="AY68" s="82" t="e">
        <f t="shared" si="28"/>
        <v>#VALUE!</v>
      </c>
      <c r="AZ68" s="82">
        <f t="shared" si="28"/>
        <v>27258.209230631299</v>
      </c>
      <c r="BA68" s="82" t="e">
        <f t="shared" si="28"/>
        <v>#VALUE!</v>
      </c>
      <c r="BB68" s="82">
        <f t="shared" si="28"/>
        <v>27213.855047839297</v>
      </c>
      <c r="BC68" s="82" t="e">
        <f t="shared" si="28"/>
        <v>#VALUE!</v>
      </c>
      <c r="BD68" s="82">
        <f t="shared" si="28"/>
        <v>27411.639600323288</v>
      </c>
      <c r="BE68" s="82">
        <f t="shared" si="28"/>
        <v>26958.493747776425</v>
      </c>
      <c r="BF68" s="82">
        <f t="shared" si="28"/>
        <v>25999.59720278615</v>
      </c>
    </row>
    <row r="69" spans="2:60">
      <c r="B69" s="114" t="s">
        <v>612</v>
      </c>
      <c r="C69" s="127">
        <f>SAP!D170</f>
        <v>2.6626613724295352</v>
      </c>
      <c r="D69" s="131" t="str">
        <f>IF(IF(D$39&lt;=$C69,D$26,(((D$39-$C69)/SAP!$C$10)*'C&amp;B'!$D$13/SAP!$C$143)+D$26)&lt;=SAP!$E$151,IF(D$39&lt;=$C69,D$26,(((D$39-$C69)/SAP!$C$10)*'C&amp;B'!$D$13/SAP!$C$143)+D$26),"Not Possible")</f>
        <v>Not Possible</v>
      </c>
      <c r="E69" s="131" t="str">
        <f>IF(IF(E$39&lt;=$C69,E$26,(((E$39-$C69)/SAP!$C$10)*'C&amp;B'!$D$13/SAP!$C$143)+E$26)&lt;=SAP!$E$151,IF(E$39&lt;=$C69,E$26,(((E$39-$C69)/SAP!$C$10)*'C&amp;B'!$D$13/SAP!$C$143)+E$26),"Not Possible")</f>
        <v>Not Possible</v>
      </c>
      <c r="F69" s="131">
        <f>IF(IF(F$39&lt;=$C69,F$26,(((F$39-$C69)/SAP!$C$10)*'C&amp;B'!$D$13/SAP!$C$143)+F$26)&lt;=SAP!$E$151,IF(F$39&lt;=$C69,F$26,(((F$39-$C69)/SAP!$C$10)*'C&amp;B'!$D$13/SAP!$C$143)+F$26),"Not Possible")</f>
        <v>0.90921379630435761</v>
      </c>
      <c r="G69" s="131" t="str">
        <f>IF(IF(G$39&lt;=$C69,G$26,(((G$39-$C69)/SAP!$C$10)*'C&amp;B'!$D$13/SAP!$C$143)+G$26)&lt;=SAP!$E$151,IF(G$39&lt;=$C69,G$26,(((G$39-$C69)/SAP!$C$10)*'C&amp;B'!$D$13/SAP!$C$143)+G$26),"Not Possible")</f>
        <v>Not Possible</v>
      </c>
      <c r="H69" s="131">
        <f>IF(IF(H$39&lt;=$C69,H$26,(((H$39-$C69)/SAP!$C$10)*'C&amp;B'!$D$13/SAP!$C$143)+H$26)&lt;=SAP!$E$151,IF(H$39&lt;=$C69,H$26,(((H$39-$C69)/SAP!$C$10)*'C&amp;B'!$D$13/SAP!$C$143)+H$26),"Not Possible")</f>
        <v>0.86574281080114757</v>
      </c>
      <c r="I69" s="131" t="str">
        <f>IF(IF(I$39&lt;=$C69,I$26,(((I$39-$C69)/SAP!$C$10)*'C&amp;B'!$D$13/SAP!$C$143)+I$26)&lt;=SAP!$E$151,IF(I$39&lt;=$C69,I$26,(((I$39-$C69)/SAP!$C$10)*'C&amp;B'!$D$13/SAP!$C$143)+I$26),"Not Possible")</f>
        <v>Not Possible</v>
      </c>
      <c r="J69" s="131">
        <f>IF(IF(J$39&lt;=$C69,J$26,(((J$39-$C69)/SAP!$C$10)*'C&amp;B'!$D$13/SAP!$C$143)+J$26)&lt;=SAP!$E$151,IF(J$39&lt;=$C69,J$26,(((J$39-$C69)/SAP!$C$10)*'C&amp;B'!$D$13/SAP!$C$143)+J$26),"Not Possible")</f>
        <v>1.4607319363811173</v>
      </c>
      <c r="K69" s="131" t="str">
        <f>IF(IF(K$39&lt;=$C69,K$26,(((K$39-$C69)/SAP!$C$10)*'C&amp;B'!$D$13/SAP!$C$143)+K$26)&lt;=SAP!$E$151,IF(K$39&lt;=$C69,K$26,(((K$39-$C69)/SAP!$C$10)*'C&amp;B'!$D$13/SAP!$C$143)+K$26),"Not Possible")</f>
        <v>Not Possible</v>
      </c>
      <c r="L69" s="131">
        <f>IF(IF(L$39&lt;=$C69,L$26,(((L$39-$C69)/SAP!$C$10)*'C&amp;B'!$D$13/SAP!$C$143)+L$26)&lt;=SAP!$E$151,IF(L$39&lt;=$C69,L$26,(((L$39-$C69)/SAP!$C$10)*'C&amp;B'!$D$13/SAP!$C$143)+L$26),"Not Possible")</f>
        <v>1.4607319363811173</v>
      </c>
      <c r="M69" s="131" t="str">
        <f>IF(IF(M$39&lt;=$C69,M$26,(((M$39-$C69)/SAP!$C$10)*'C&amp;B'!$D$13/SAP!$C$143)+M$26)&lt;=SAP!$E$151,IF(M$39&lt;=$C69,M$26,(((M$39-$C69)/SAP!$C$10)*'C&amp;B'!$D$13/SAP!$C$143)+M$26),"Not Possible")</f>
        <v>Not Possible</v>
      </c>
      <c r="N69" s="131">
        <f>IF(IF(N$39&lt;=$C69,N$26,(((N$39-$C69)/SAP!$C$10)*'C&amp;B'!$D$13/SAP!$C$143)+N$26)&lt;=SAP!$E$151,IF(N$39&lt;=$C69,N$26,(((N$39-$C69)/SAP!$C$10)*'C&amp;B'!$D$13/SAP!$C$143)+N$26),"Not Possible")</f>
        <v>1.4607319363811173</v>
      </c>
      <c r="O69" s="131" t="str">
        <f>IF(IF(O$39&lt;=$C69,O$26,(((O$39-$C69)/SAP!$C$10)*'C&amp;B'!$D$13/SAP!$C$143)+O$26)&lt;=SAP!$E$151,IF(O$39&lt;=$C69,O$26,(((O$39-$C69)/SAP!$C$10)*'C&amp;B'!$D$13/SAP!$C$143)+O$26),"Not Possible")</f>
        <v>Not Possible</v>
      </c>
      <c r="P69" s="131">
        <f>IF(IF(P$39&lt;=$C69,P$26,(((P$39-$C69)/SAP!$C$10)*'C&amp;B'!$D$13/SAP!$C$143)+P$26)&lt;=SAP!$E$151,IF(P$39&lt;=$C69,P$26,(((P$39-$C69)/SAP!$C$10)*'C&amp;B'!$D$13/SAP!$C$143)+P$26),"Not Possible")</f>
        <v>1.3868082983944456</v>
      </c>
      <c r="Q69" s="131" t="str">
        <f>IF(IF(Q$39&lt;=$C69,Q$26,(((Q$39-$C69)/SAP!$C$10)*'C&amp;B'!$D$13/SAP!$C$143)+Q$26)&lt;=SAP!$E$151,IF(Q$39&lt;=$C69,Q$26,(((Q$39-$C69)/SAP!$C$10)*'C&amp;B'!$D$13/SAP!$C$143)+Q$26),"Not Possible")</f>
        <v>Not Possible</v>
      </c>
      <c r="R69" s="131">
        <f>IF(IF(R$39&lt;=$C69,R$26,(((R$39-$C69)/SAP!$C$10)*'C&amp;B'!$D$13/SAP!$C$143)+R$26)&lt;=SAP!$E$151,IF(R$39&lt;=$C69,R$26,(((R$39-$C69)/SAP!$C$10)*'C&amp;B'!$D$13/SAP!$C$143)+R$26),"Not Possible")</f>
        <v>1.2581158858677628</v>
      </c>
      <c r="S69" s="131">
        <f>IF(IF(S$39&lt;=$C69,S$26,(((S$39-$C69)/SAP!$C$10)*'C&amp;B'!$D$13/SAP!$C$143)+S$26)&lt;=SAP!$E$151,IF(S$39&lt;=$C69,S$26,(((S$39-$C69)/SAP!$C$10)*'C&amp;B'!$D$13/SAP!$C$143)+S$26),"Not Possible")</f>
        <v>0.8078727982896593</v>
      </c>
      <c r="T69" s="131">
        <f>IF(IF(T$39&lt;=$C69,T$26,(((T$39-$C69)/SAP!$C$10)*'C&amp;B'!$D$13/SAP!$C$143)+T$26)&lt;=SAP!$E$151,IF(T$39&lt;=$C69,T$26,(((T$39-$C69)/SAP!$C$10)*'C&amp;B'!$D$13/SAP!$C$143)+T$26),"Not Possible")</f>
        <v>1.1430452233058699</v>
      </c>
      <c r="V69" s="130" t="s">
        <v>612</v>
      </c>
      <c r="W69" s="82" t="e">
        <f>IF(D69=0,0,IF(D69&lt;4,'C&amp;B'!$E$316+(D69*'C&amp;B'!$E$317),D69*'C&amp;B'!$E$318))</f>
        <v>#VALUE!</v>
      </c>
      <c r="X69" s="82" t="e">
        <f>IF(E69=0,0,IF(E69&lt;4,'C&amp;B'!$E$316+(E69*'C&amp;B'!$E$317),E69*'C&amp;B'!$E$318))</f>
        <v>#VALUE!</v>
      </c>
      <c r="Y69" s="82">
        <f>IF(F69=0,0,IF(F69&lt;4,'C&amp;B'!$E$316+(F69*'C&amp;B'!$E$317),F69*'C&amp;B'!$E$318))</f>
        <v>1645.5282777826146</v>
      </c>
      <c r="Z69" s="82" t="e">
        <f>IF(G69=0,0,IF(G69&lt;4,'C&amp;B'!$E$316+(G69*'C&amp;B'!$E$317),G69*'C&amp;B'!$E$318))</f>
        <v>#VALUE!</v>
      </c>
      <c r="AA69" s="82">
        <f>IF(H69=0,0,IF(H69&lt;4,'C&amp;B'!$E$316+(H69*'C&amp;B'!$E$317),H69*'C&amp;B'!$E$318))</f>
        <v>1619.4456864806884</v>
      </c>
      <c r="AB69" s="82" t="e">
        <f>IF(I69=0,0,IF(I69&lt;4,'C&amp;B'!$E$316+(I69*'C&amp;B'!$E$317),I69*'C&amp;B'!$E$318))</f>
        <v>#VALUE!</v>
      </c>
      <c r="AC69" s="82">
        <f>IF(J69=0,0,IF(J69&lt;4,'C&amp;B'!$E$316+(J69*'C&amp;B'!$E$317),J69*'C&amp;B'!$E$318))</f>
        <v>1976.4391618286704</v>
      </c>
      <c r="AD69" s="82" t="e">
        <f>IF(K69=0,0,IF(K69&lt;4,'C&amp;B'!$E$316+(K69*'C&amp;B'!$E$317),K69*'C&amp;B'!$E$318))</f>
        <v>#VALUE!</v>
      </c>
      <c r="AE69" s="82">
        <f>IF(L69=0,0,IF(L69&lt;4,'C&amp;B'!$E$316+(L69*'C&amp;B'!$E$317),L69*'C&amp;B'!$E$318))</f>
        <v>1976.4391618286704</v>
      </c>
      <c r="AF69" s="82" t="e">
        <f>IF(M69=0,0,IF(M69&lt;4,'C&amp;B'!$E$316+(M69*'C&amp;B'!$E$317),M69*'C&amp;B'!$E$318))</f>
        <v>#VALUE!</v>
      </c>
      <c r="AG69" s="82">
        <f>IF(N69=0,0,IF(N69&lt;4,'C&amp;B'!$E$316+(N69*'C&amp;B'!$E$317),N69*'C&amp;B'!$E$318))</f>
        <v>1976.4391618286704</v>
      </c>
      <c r="AH69" s="82" t="e">
        <f>IF(O69=0,0,IF(O69&lt;4,'C&amp;B'!$E$316+(O69*'C&amp;B'!$E$317),O69*'C&amp;B'!$E$318))</f>
        <v>#VALUE!</v>
      </c>
      <c r="AI69" s="82">
        <f>IF(P69=0,0,IF(P69&lt;4,'C&amp;B'!$E$316+(P69*'C&amp;B'!$E$317),P69*'C&amp;B'!$E$318))</f>
        <v>1932.0849790366674</v>
      </c>
      <c r="AJ69" s="82" t="e">
        <f>IF(Q69=0,0,IF(Q69&lt;4,'C&amp;B'!$E$316+(Q69*'C&amp;B'!$E$317),Q69*'C&amp;B'!$E$318))</f>
        <v>#VALUE!</v>
      </c>
      <c r="AK69" s="82">
        <f>IF(R69=0,0,IF(R69&lt;4,'C&amp;B'!$E$316+(R69*'C&amp;B'!$E$317),R69*'C&amp;B'!$E$318))</f>
        <v>1854.8695315206578</v>
      </c>
      <c r="AL69" s="82">
        <f>IF(S69=0,0,IF(S69&lt;4,'C&amp;B'!$E$316+(S69*'C&amp;B'!$E$317),S69*'C&amp;B'!$E$318))</f>
        <v>1584.7236789737956</v>
      </c>
      <c r="AM69" s="82">
        <f>IF(T69=0,0,IF(T69&lt;4,'C&amp;B'!$E$316+(T69*'C&amp;B'!$E$317),T69*'C&amp;B'!$E$318))</f>
        <v>1785.8271339835219</v>
      </c>
      <c r="AO69" s="130" t="s">
        <v>612</v>
      </c>
      <c r="AP69" s="82" t="e">
        <f t="shared" si="29"/>
        <v>#VALUE!</v>
      </c>
      <c r="AQ69" s="82" t="e">
        <f t="shared" si="28"/>
        <v>#VALUE!</v>
      </c>
      <c r="AR69" s="82">
        <f t="shared" si="28"/>
        <v>26015.528277782614</v>
      </c>
      <c r="AS69" s="82" t="e">
        <f t="shared" si="28"/>
        <v>#VALUE!</v>
      </c>
      <c r="AT69" s="82">
        <f t="shared" si="28"/>
        <v>25702.445686480689</v>
      </c>
      <c r="AU69" s="82" t="e">
        <f t="shared" si="28"/>
        <v>#VALUE!</v>
      </c>
      <c r="AV69" s="82">
        <f t="shared" si="28"/>
        <v>27414.439161828672</v>
      </c>
      <c r="AW69" s="82" t="e">
        <f t="shared" si="28"/>
        <v>#VALUE!</v>
      </c>
      <c r="AX69" s="82">
        <f t="shared" si="28"/>
        <v>27414.439161828672</v>
      </c>
      <c r="AY69" s="82" t="e">
        <f t="shared" si="28"/>
        <v>#VALUE!</v>
      </c>
      <c r="AZ69" s="82">
        <f t="shared" si="28"/>
        <v>27414.439161828672</v>
      </c>
      <c r="BA69" s="82" t="e">
        <f t="shared" si="28"/>
        <v>#VALUE!</v>
      </c>
      <c r="BB69" s="82">
        <f t="shared" si="28"/>
        <v>27370.084979036666</v>
      </c>
      <c r="BC69" s="82" t="e">
        <f t="shared" si="28"/>
        <v>#VALUE!</v>
      </c>
      <c r="BD69" s="82">
        <f t="shared" si="28"/>
        <v>27567.869531520657</v>
      </c>
      <c r="BE69" s="82">
        <f t="shared" si="28"/>
        <v>27114.723678973794</v>
      </c>
      <c r="BF69" s="82">
        <f t="shared" si="28"/>
        <v>26155.827133983523</v>
      </c>
    </row>
    <row r="70" spans="2:60">
      <c r="B70" s="114" t="s">
        <v>613</v>
      </c>
      <c r="C70" s="127">
        <f>SAP!D171</f>
        <v>2.2822811763681732</v>
      </c>
      <c r="D70" s="131" t="str">
        <f>IF(IF(D$39&lt;=$C70,D$26,(((D$39-$C70)/SAP!$C$10)*'C&amp;B'!$D$13/SAP!$C$143)+D$26)&lt;=SAP!$E$151,IF(D$39&lt;=$C70,D$26,(((D$39-$C70)/SAP!$C$10)*'C&amp;B'!$D$13/SAP!$C$143)+D$26),"Not Possible")</f>
        <v>Not Possible</v>
      </c>
      <c r="E70" s="131" t="str">
        <f>IF(IF(E$39&lt;=$C70,E$26,(((E$39-$C70)/SAP!$C$10)*'C&amp;B'!$D$13/SAP!$C$143)+E$26)&lt;=SAP!$E$151,IF(E$39&lt;=$C70,E$26,(((E$39-$C70)/SAP!$C$10)*'C&amp;B'!$D$13/SAP!$C$143)+E$26),"Not Possible")</f>
        <v>Not Possible</v>
      </c>
      <c r="F70" s="131">
        <f>IF(IF(F$39&lt;=$C70,F$26,(((F$39-$C70)/SAP!$C$10)*'C&amp;B'!$D$13/SAP!$C$143)+F$26)&lt;=SAP!$E$151,IF(F$39&lt;=$C70,F$26,(((F$39-$C70)/SAP!$C$10)*'C&amp;B'!$D$13/SAP!$C$143)+F$26),"Not Possible")</f>
        <v>1.1695970149666413</v>
      </c>
      <c r="G70" s="131" t="str">
        <f>IF(IF(G$39&lt;=$C70,G$26,(((G$39-$C70)/SAP!$C$10)*'C&amp;B'!$D$13/SAP!$C$143)+G$26)&lt;=SAP!$E$151,IF(G$39&lt;=$C70,G$26,(((G$39-$C70)/SAP!$C$10)*'C&amp;B'!$D$13/SAP!$C$143)+G$26),"Not Possible")</f>
        <v>Not Possible</v>
      </c>
      <c r="H70" s="131">
        <f>IF(IF(H$39&lt;=$C70,H$26,(((H$39-$C70)/SAP!$C$10)*'C&amp;B'!$D$13/SAP!$C$143)+H$26)&lt;=SAP!$E$151,IF(H$39&lt;=$C70,H$26,(((H$39-$C70)/SAP!$C$10)*'C&amp;B'!$D$13/SAP!$C$143)+H$26),"Not Possible")</f>
        <v>1.1261260294634312</v>
      </c>
      <c r="I70" s="131" t="str">
        <f>IF(IF(I$39&lt;=$C70,I$26,(((I$39-$C70)/SAP!$C$10)*'C&amp;B'!$D$13/SAP!$C$143)+I$26)&lt;=SAP!$E$151,IF(I$39&lt;=$C70,I$26,(((I$39-$C70)/SAP!$C$10)*'C&amp;B'!$D$13/SAP!$C$143)+I$26),"Not Possible")</f>
        <v>Not Possible</v>
      </c>
      <c r="J70" s="131">
        <f>IF(IF(J$39&lt;=$C70,J$26,(((J$39-$C70)/SAP!$C$10)*'C&amp;B'!$D$13/SAP!$C$143)+J$26)&lt;=SAP!$E$151,IF(J$39&lt;=$C70,J$26,(((J$39-$C70)/SAP!$C$10)*'C&amp;B'!$D$13/SAP!$C$143)+J$26),"Not Possible")</f>
        <v>1.7211151550434007</v>
      </c>
      <c r="K70" s="131" t="str">
        <f>IF(IF(K$39&lt;=$C70,K$26,(((K$39-$C70)/SAP!$C$10)*'C&amp;B'!$D$13/SAP!$C$143)+K$26)&lt;=SAP!$E$151,IF(K$39&lt;=$C70,K$26,(((K$39-$C70)/SAP!$C$10)*'C&amp;B'!$D$13/SAP!$C$143)+K$26),"Not Possible")</f>
        <v>Not Possible</v>
      </c>
      <c r="L70" s="131">
        <f>IF(IF(L$39&lt;=$C70,L$26,(((L$39-$C70)/SAP!$C$10)*'C&amp;B'!$D$13/SAP!$C$143)+L$26)&lt;=SAP!$E$151,IF(L$39&lt;=$C70,L$26,(((L$39-$C70)/SAP!$C$10)*'C&amp;B'!$D$13/SAP!$C$143)+L$26),"Not Possible")</f>
        <v>1.7211151550434007</v>
      </c>
      <c r="M70" s="131" t="str">
        <f>IF(IF(M$39&lt;=$C70,M$26,(((M$39-$C70)/SAP!$C$10)*'C&amp;B'!$D$13/SAP!$C$143)+M$26)&lt;=SAP!$E$151,IF(M$39&lt;=$C70,M$26,(((M$39-$C70)/SAP!$C$10)*'C&amp;B'!$D$13/SAP!$C$143)+M$26),"Not Possible")</f>
        <v>Not Possible</v>
      </c>
      <c r="N70" s="131">
        <f>IF(IF(N$39&lt;=$C70,N$26,(((N$39-$C70)/SAP!$C$10)*'C&amp;B'!$D$13/SAP!$C$143)+N$26)&lt;=SAP!$E$151,IF(N$39&lt;=$C70,N$26,(((N$39-$C70)/SAP!$C$10)*'C&amp;B'!$D$13/SAP!$C$143)+N$26),"Not Possible")</f>
        <v>1.7211151550434007</v>
      </c>
      <c r="O70" s="131" t="str">
        <f>IF(IF(O$39&lt;=$C70,O$26,(((O$39-$C70)/SAP!$C$10)*'C&amp;B'!$D$13/SAP!$C$143)+O$26)&lt;=SAP!$E$151,IF(O$39&lt;=$C70,O$26,(((O$39-$C70)/SAP!$C$10)*'C&amp;B'!$D$13/SAP!$C$143)+O$26),"Not Possible")</f>
        <v>Not Possible</v>
      </c>
      <c r="P70" s="131">
        <f>IF(IF(P$39&lt;=$C70,P$26,(((P$39-$C70)/SAP!$C$10)*'C&amp;B'!$D$13/SAP!$C$143)+P$26)&lt;=SAP!$E$151,IF(P$39&lt;=$C70,P$26,(((P$39-$C70)/SAP!$C$10)*'C&amp;B'!$D$13/SAP!$C$143)+P$26),"Not Possible")</f>
        <v>1.6471915170567293</v>
      </c>
      <c r="Q70" s="131" t="str">
        <f>IF(IF(Q$39&lt;=$C70,Q$26,(((Q$39-$C70)/SAP!$C$10)*'C&amp;B'!$D$13/SAP!$C$143)+Q$26)&lt;=SAP!$E$151,IF(Q$39&lt;=$C70,Q$26,(((Q$39-$C70)/SAP!$C$10)*'C&amp;B'!$D$13/SAP!$C$143)+Q$26),"Not Possible")</f>
        <v>Not Possible</v>
      </c>
      <c r="R70" s="131">
        <f>IF(IF(R$39&lt;=$C70,R$26,(((R$39-$C70)/SAP!$C$10)*'C&amp;B'!$D$13/SAP!$C$143)+R$26)&lt;=SAP!$E$151,IF(R$39&lt;=$C70,R$26,(((R$39-$C70)/SAP!$C$10)*'C&amp;B'!$D$13/SAP!$C$143)+R$26),"Not Possible")</f>
        <v>1.5184991045300462</v>
      </c>
      <c r="S70" s="131">
        <f>IF(IF(S$39&lt;=$C70,S$26,(((S$39-$C70)/SAP!$C$10)*'C&amp;B'!$D$13/SAP!$C$143)+S$26)&lt;=SAP!$E$151,IF(S$39&lt;=$C70,S$26,(((S$39-$C70)/SAP!$C$10)*'C&amp;B'!$D$13/SAP!$C$143)+S$26),"Not Possible")</f>
        <v>1.0682560169519431</v>
      </c>
      <c r="T70" s="131">
        <f>IF(IF(T$39&lt;=$C70,T$26,(((T$39-$C70)/SAP!$C$10)*'C&amp;B'!$D$13/SAP!$C$143)+T$26)&lt;=SAP!$E$151,IF(T$39&lt;=$C70,T$26,(((T$39-$C70)/SAP!$C$10)*'C&amp;B'!$D$13/SAP!$C$143)+T$26),"Not Possible")</f>
        <v>1.4034284419681535</v>
      </c>
      <c r="V70" s="130" t="s">
        <v>613</v>
      </c>
      <c r="W70" s="82" t="e">
        <f>IF(D70=0,0,IF(D70&lt;4,'C&amp;B'!$E$316+(D70*'C&amp;B'!$E$317),D70*'C&amp;B'!$E$318))</f>
        <v>#VALUE!</v>
      </c>
      <c r="X70" s="82" t="e">
        <f>IF(E70=0,0,IF(E70&lt;4,'C&amp;B'!$E$316+(E70*'C&amp;B'!$E$317),E70*'C&amp;B'!$E$318))</f>
        <v>#VALUE!</v>
      </c>
      <c r="Y70" s="82">
        <f>IF(F70=0,0,IF(F70&lt;4,'C&amp;B'!$E$316+(F70*'C&amp;B'!$E$317),F70*'C&amp;B'!$E$318))</f>
        <v>1801.7582089799848</v>
      </c>
      <c r="Z70" s="82" t="e">
        <f>IF(G70=0,0,IF(G70&lt;4,'C&amp;B'!$E$316+(G70*'C&amp;B'!$E$317),G70*'C&amp;B'!$E$318))</f>
        <v>#VALUE!</v>
      </c>
      <c r="AA70" s="82">
        <f>IF(H70=0,0,IF(H70&lt;4,'C&amp;B'!$E$316+(H70*'C&amp;B'!$E$317),H70*'C&amp;B'!$E$318))</f>
        <v>1775.6756176780586</v>
      </c>
      <c r="AB70" s="82" t="e">
        <f>IF(I70=0,0,IF(I70&lt;4,'C&amp;B'!$E$316+(I70*'C&amp;B'!$E$317),I70*'C&amp;B'!$E$318))</f>
        <v>#VALUE!</v>
      </c>
      <c r="AC70" s="82">
        <f>IF(J70=0,0,IF(J70&lt;4,'C&amp;B'!$E$316+(J70*'C&amp;B'!$E$317),J70*'C&amp;B'!$E$318))</f>
        <v>2132.6690930260402</v>
      </c>
      <c r="AD70" s="82" t="e">
        <f>IF(K70=0,0,IF(K70&lt;4,'C&amp;B'!$E$316+(K70*'C&amp;B'!$E$317),K70*'C&amp;B'!$E$318))</f>
        <v>#VALUE!</v>
      </c>
      <c r="AE70" s="82">
        <f>IF(L70=0,0,IF(L70&lt;4,'C&amp;B'!$E$316+(L70*'C&amp;B'!$E$317),L70*'C&amp;B'!$E$318))</f>
        <v>2132.6690930260402</v>
      </c>
      <c r="AF70" s="82" t="e">
        <f>IF(M70=0,0,IF(M70&lt;4,'C&amp;B'!$E$316+(M70*'C&amp;B'!$E$317),M70*'C&amp;B'!$E$318))</f>
        <v>#VALUE!</v>
      </c>
      <c r="AG70" s="82">
        <f>IF(N70=0,0,IF(N70&lt;4,'C&amp;B'!$E$316+(N70*'C&amp;B'!$E$317),N70*'C&amp;B'!$E$318))</f>
        <v>2132.6690930260402</v>
      </c>
      <c r="AH70" s="82" t="e">
        <f>IF(O70=0,0,IF(O70&lt;4,'C&amp;B'!$E$316+(O70*'C&amp;B'!$E$317),O70*'C&amp;B'!$E$318))</f>
        <v>#VALUE!</v>
      </c>
      <c r="AI70" s="82">
        <f>IF(P70=0,0,IF(P70&lt;4,'C&amp;B'!$E$316+(P70*'C&amp;B'!$E$317),P70*'C&amp;B'!$E$318))</f>
        <v>2088.3149102340376</v>
      </c>
      <c r="AJ70" s="82" t="e">
        <f>IF(Q70=0,0,IF(Q70&lt;4,'C&amp;B'!$E$316+(Q70*'C&amp;B'!$E$317),Q70*'C&amp;B'!$E$318))</f>
        <v>#VALUE!</v>
      </c>
      <c r="AK70" s="82">
        <f>IF(R70=0,0,IF(R70&lt;4,'C&amp;B'!$E$316+(R70*'C&amp;B'!$E$317),R70*'C&amp;B'!$E$318))</f>
        <v>2011.0994627180278</v>
      </c>
      <c r="AL70" s="82">
        <f>IF(S70=0,0,IF(S70&lt;4,'C&amp;B'!$E$316+(S70*'C&amp;B'!$E$317),S70*'C&amp;B'!$E$318))</f>
        <v>1740.9536101711658</v>
      </c>
      <c r="AM70" s="82">
        <f>IF(T70=0,0,IF(T70&lt;4,'C&amp;B'!$E$316+(T70*'C&amp;B'!$E$317),T70*'C&amp;B'!$E$318))</f>
        <v>1942.0570651808921</v>
      </c>
      <c r="AO70" s="130" t="s">
        <v>613</v>
      </c>
      <c r="AP70" s="82" t="e">
        <f t="shared" si="29"/>
        <v>#VALUE!</v>
      </c>
      <c r="AQ70" s="82" t="e">
        <f t="shared" si="28"/>
        <v>#VALUE!</v>
      </c>
      <c r="AR70" s="82">
        <f t="shared" si="28"/>
        <v>26171.758208979983</v>
      </c>
      <c r="AS70" s="82" t="e">
        <f t="shared" si="28"/>
        <v>#VALUE!</v>
      </c>
      <c r="AT70" s="82">
        <f t="shared" si="28"/>
        <v>25858.675617678058</v>
      </c>
      <c r="AU70" s="82" t="e">
        <f t="shared" si="28"/>
        <v>#VALUE!</v>
      </c>
      <c r="AV70" s="82">
        <f t="shared" si="28"/>
        <v>27570.669093026041</v>
      </c>
      <c r="AW70" s="82" t="e">
        <f t="shared" si="28"/>
        <v>#VALUE!</v>
      </c>
      <c r="AX70" s="82">
        <f t="shared" si="28"/>
        <v>27570.669093026041</v>
      </c>
      <c r="AY70" s="82" t="e">
        <f t="shared" si="28"/>
        <v>#VALUE!</v>
      </c>
      <c r="AZ70" s="82">
        <f t="shared" si="28"/>
        <v>27570.669093026041</v>
      </c>
      <c r="BA70" s="82" t="e">
        <f t="shared" si="28"/>
        <v>#VALUE!</v>
      </c>
      <c r="BB70" s="82">
        <f t="shared" si="28"/>
        <v>27526.314910234039</v>
      </c>
      <c r="BC70" s="82" t="e">
        <f t="shared" si="28"/>
        <v>#VALUE!</v>
      </c>
      <c r="BD70" s="82">
        <f t="shared" si="28"/>
        <v>27724.099462718026</v>
      </c>
      <c r="BE70" s="82">
        <f t="shared" si="28"/>
        <v>27270.953610171167</v>
      </c>
      <c r="BF70" s="82">
        <f t="shared" si="28"/>
        <v>26312.057065180892</v>
      </c>
    </row>
    <row r="71" spans="2:60">
      <c r="B71" s="114" t="s">
        <v>614</v>
      </c>
      <c r="C71" s="127">
        <f>SAP!D172</f>
        <v>1.901900980306811</v>
      </c>
      <c r="D71" s="131" t="str">
        <f>IF(IF(D$39&lt;=$C71,D$26,(((D$39-$C71)/SAP!$C$10)*'C&amp;B'!$D$13/SAP!$C$143)+D$26)&lt;=SAP!$E$151,IF(D$39&lt;=$C71,D$26,(((D$39-$C71)/SAP!$C$10)*'C&amp;B'!$D$13/SAP!$C$143)+D$26),"Not Possible")</f>
        <v>Not Possible</v>
      </c>
      <c r="E71" s="131" t="str">
        <f>IF(IF(E$39&lt;=$C71,E$26,(((E$39-$C71)/SAP!$C$10)*'C&amp;B'!$D$13/SAP!$C$143)+E$26)&lt;=SAP!$E$151,IF(E$39&lt;=$C71,E$26,(((E$39-$C71)/SAP!$C$10)*'C&amp;B'!$D$13/SAP!$C$143)+E$26),"Not Possible")</f>
        <v>Not Possible</v>
      </c>
      <c r="F71" s="131">
        <f>IF(IF(F$39&lt;=$C71,F$26,(((F$39-$C71)/SAP!$C$10)*'C&amp;B'!$D$13/SAP!$C$143)+F$26)&lt;=SAP!$E$151,IF(F$39&lt;=$C71,F$26,(((F$39-$C71)/SAP!$C$10)*'C&amp;B'!$D$13/SAP!$C$143)+F$26),"Not Possible")</f>
        <v>1.4299802336289251</v>
      </c>
      <c r="G71" s="131" t="str">
        <f>IF(IF(G$39&lt;=$C71,G$26,(((G$39-$C71)/SAP!$C$10)*'C&amp;B'!$D$13/SAP!$C$143)+G$26)&lt;=SAP!$E$151,IF(G$39&lt;=$C71,G$26,(((G$39-$C71)/SAP!$C$10)*'C&amp;B'!$D$13/SAP!$C$143)+G$26),"Not Possible")</f>
        <v>Not Possible</v>
      </c>
      <c r="H71" s="131">
        <f>IF(IF(H$39&lt;=$C71,H$26,(((H$39-$C71)/SAP!$C$10)*'C&amp;B'!$D$13/SAP!$C$143)+H$26)&lt;=SAP!$E$151,IF(H$39&lt;=$C71,H$26,(((H$39-$C71)/SAP!$C$10)*'C&amp;B'!$D$13/SAP!$C$143)+H$26),"Not Possible")</f>
        <v>1.3865092481257153</v>
      </c>
      <c r="I71" s="131" t="str">
        <f>IF(IF(I$39&lt;=$C71,I$26,(((I$39-$C71)/SAP!$C$10)*'C&amp;B'!$D$13/SAP!$C$143)+I$26)&lt;=SAP!$E$151,IF(I$39&lt;=$C71,I$26,(((I$39-$C71)/SAP!$C$10)*'C&amp;B'!$D$13/SAP!$C$143)+I$26),"Not Possible")</f>
        <v>Not Possible</v>
      </c>
      <c r="J71" s="131">
        <f>IF(IF(J$39&lt;=$C71,J$26,(((J$39-$C71)/SAP!$C$10)*'C&amp;B'!$D$13/SAP!$C$143)+J$26)&lt;=SAP!$E$151,IF(J$39&lt;=$C71,J$26,(((J$39-$C71)/SAP!$C$10)*'C&amp;B'!$D$13/SAP!$C$143)+J$26),"Not Possible")</f>
        <v>1.9814983737056846</v>
      </c>
      <c r="K71" s="131" t="str">
        <f>IF(IF(K$39&lt;=$C71,K$26,(((K$39-$C71)/SAP!$C$10)*'C&amp;B'!$D$13/SAP!$C$143)+K$26)&lt;=SAP!$E$151,IF(K$39&lt;=$C71,K$26,(((K$39-$C71)/SAP!$C$10)*'C&amp;B'!$D$13/SAP!$C$143)+K$26),"Not Possible")</f>
        <v>Not Possible</v>
      </c>
      <c r="L71" s="131">
        <f>IF(IF(L$39&lt;=$C71,L$26,(((L$39-$C71)/SAP!$C$10)*'C&amp;B'!$D$13/SAP!$C$143)+L$26)&lt;=SAP!$E$151,IF(L$39&lt;=$C71,L$26,(((L$39-$C71)/SAP!$C$10)*'C&amp;B'!$D$13/SAP!$C$143)+L$26),"Not Possible")</f>
        <v>1.9814983737056846</v>
      </c>
      <c r="M71" s="131" t="str">
        <f>IF(IF(M$39&lt;=$C71,M$26,(((M$39-$C71)/SAP!$C$10)*'C&amp;B'!$D$13/SAP!$C$143)+M$26)&lt;=SAP!$E$151,IF(M$39&lt;=$C71,M$26,(((M$39-$C71)/SAP!$C$10)*'C&amp;B'!$D$13/SAP!$C$143)+M$26),"Not Possible")</f>
        <v>Not Possible</v>
      </c>
      <c r="N71" s="131">
        <f>IF(IF(N$39&lt;=$C71,N$26,(((N$39-$C71)/SAP!$C$10)*'C&amp;B'!$D$13/SAP!$C$143)+N$26)&lt;=SAP!$E$151,IF(N$39&lt;=$C71,N$26,(((N$39-$C71)/SAP!$C$10)*'C&amp;B'!$D$13/SAP!$C$143)+N$26),"Not Possible")</f>
        <v>1.9814983737056846</v>
      </c>
      <c r="O71" s="131" t="str">
        <f>IF(IF(O$39&lt;=$C71,O$26,(((O$39-$C71)/SAP!$C$10)*'C&amp;B'!$D$13/SAP!$C$143)+O$26)&lt;=SAP!$E$151,IF(O$39&lt;=$C71,O$26,(((O$39-$C71)/SAP!$C$10)*'C&amp;B'!$D$13/SAP!$C$143)+O$26),"Not Possible")</f>
        <v>Not Possible</v>
      </c>
      <c r="P71" s="131">
        <f>IF(IF(P$39&lt;=$C71,P$26,(((P$39-$C71)/SAP!$C$10)*'C&amp;B'!$D$13/SAP!$C$143)+P$26)&lt;=SAP!$E$151,IF(P$39&lt;=$C71,P$26,(((P$39-$C71)/SAP!$C$10)*'C&amp;B'!$D$13/SAP!$C$143)+P$26),"Not Possible")</f>
        <v>1.9075747357190127</v>
      </c>
      <c r="Q71" s="131" t="str">
        <f>IF(IF(Q$39&lt;=$C71,Q$26,(((Q$39-$C71)/SAP!$C$10)*'C&amp;B'!$D$13/SAP!$C$143)+Q$26)&lt;=SAP!$E$151,IF(Q$39&lt;=$C71,Q$26,(((Q$39-$C71)/SAP!$C$10)*'C&amp;B'!$D$13/SAP!$C$143)+Q$26),"Not Possible")</f>
        <v>Not Possible</v>
      </c>
      <c r="R71" s="131">
        <f>IF(IF(R$39&lt;=$C71,R$26,(((R$39-$C71)/SAP!$C$10)*'C&amp;B'!$D$13/SAP!$C$143)+R$26)&lt;=SAP!$E$151,IF(R$39&lt;=$C71,R$26,(((R$39-$C71)/SAP!$C$10)*'C&amp;B'!$D$13/SAP!$C$143)+R$26),"Not Possible")</f>
        <v>1.7788823231923301</v>
      </c>
      <c r="S71" s="131">
        <f>IF(IF(S$39&lt;=$C71,S$26,(((S$39-$C71)/SAP!$C$10)*'C&amp;B'!$D$13/SAP!$C$143)+S$26)&lt;=SAP!$E$151,IF(S$39&lt;=$C71,S$26,(((S$39-$C71)/SAP!$C$10)*'C&amp;B'!$D$13/SAP!$C$143)+S$26),"Not Possible")</f>
        <v>1.3286392356142267</v>
      </c>
      <c r="T71" s="131">
        <f>IF(IF(T$39&lt;=$C71,T$26,(((T$39-$C71)/SAP!$C$10)*'C&amp;B'!$D$13/SAP!$C$143)+T$26)&lt;=SAP!$E$151,IF(T$39&lt;=$C71,T$26,(((T$39-$C71)/SAP!$C$10)*'C&amp;B'!$D$13/SAP!$C$143)+T$26),"Not Possible")</f>
        <v>1.6638116606304372</v>
      </c>
      <c r="V71" s="130" t="s">
        <v>614</v>
      </c>
      <c r="W71" s="82" t="e">
        <f>IF(D71=0,0,IF(D71&lt;4,'C&amp;B'!$E$316+(D71*'C&amp;B'!$E$317),D71*'C&amp;B'!$E$318))</f>
        <v>#VALUE!</v>
      </c>
      <c r="X71" s="82" t="e">
        <f>IF(E71=0,0,IF(E71&lt;4,'C&amp;B'!$E$316+(E71*'C&amp;B'!$E$317),E71*'C&amp;B'!$E$318))</f>
        <v>#VALUE!</v>
      </c>
      <c r="Y71" s="82">
        <f>IF(F71=0,0,IF(F71&lt;4,'C&amp;B'!$E$316+(F71*'C&amp;B'!$E$317),F71*'C&amp;B'!$E$318))</f>
        <v>1957.988140177355</v>
      </c>
      <c r="Z71" s="82" t="e">
        <f>IF(G71=0,0,IF(G71&lt;4,'C&amp;B'!$E$316+(G71*'C&amp;B'!$E$317),G71*'C&amp;B'!$E$318))</f>
        <v>#VALUE!</v>
      </c>
      <c r="AA71" s="82">
        <f>IF(H71=0,0,IF(H71&lt;4,'C&amp;B'!$E$316+(H71*'C&amp;B'!$E$317),H71*'C&amp;B'!$E$318))</f>
        <v>1931.9055488754293</v>
      </c>
      <c r="AB71" s="82" t="e">
        <f>IF(I71=0,0,IF(I71&lt;4,'C&amp;B'!$E$316+(I71*'C&amp;B'!$E$317),I71*'C&amp;B'!$E$318))</f>
        <v>#VALUE!</v>
      </c>
      <c r="AC71" s="82">
        <f>IF(J71=0,0,IF(J71&lt;4,'C&amp;B'!$E$316+(J71*'C&amp;B'!$E$317),J71*'C&amp;B'!$E$318))</f>
        <v>2288.8990242234108</v>
      </c>
      <c r="AD71" s="82" t="e">
        <f>IF(K71=0,0,IF(K71&lt;4,'C&amp;B'!$E$316+(K71*'C&amp;B'!$E$317),K71*'C&amp;B'!$E$318))</f>
        <v>#VALUE!</v>
      </c>
      <c r="AE71" s="82">
        <f>IF(L71=0,0,IF(L71&lt;4,'C&amp;B'!$E$316+(L71*'C&amp;B'!$E$317),L71*'C&amp;B'!$E$318))</f>
        <v>2288.8990242234108</v>
      </c>
      <c r="AF71" s="82" t="e">
        <f>IF(M71=0,0,IF(M71&lt;4,'C&amp;B'!$E$316+(M71*'C&amp;B'!$E$317),M71*'C&amp;B'!$E$318))</f>
        <v>#VALUE!</v>
      </c>
      <c r="AG71" s="82">
        <f>IF(N71=0,0,IF(N71&lt;4,'C&amp;B'!$E$316+(N71*'C&amp;B'!$E$317),N71*'C&amp;B'!$E$318))</f>
        <v>2288.8990242234108</v>
      </c>
      <c r="AH71" s="82" t="e">
        <f>IF(O71=0,0,IF(O71&lt;4,'C&amp;B'!$E$316+(O71*'C&amp;B'!$E$317),O71*'C&amp;B'!$E$318))</f>
        <v>#VALUE!</v>
      </c>
      <c r="AI71" s="82">
        <f>IF(P71=0,0,IF(P71&lt;4,'C&amp;B'!$E$316+(P71*'C&amp;B'!$E$317),P71*'C&amp;B'!$E$318))</f>
        <v>2244.5448414314078</v>
      </c>
      <c r="AJ71" s="82" t="e">
        <f>IF(Q71=0,0,IF(Q71&lt;4,'C&amp;B'!$E$316+(Q71*'C&amp;B'!$E$317),Q71*'C&amp;B'!$E$318))</f>
        <v>#VALUE!</v>
      </c>
      <c r="AK71" s="82">
        <f>IF(R71=0,0,IF(R71&lt;4,'C&amp;B'!$E$316+(R71*'C&amp;B'!$E$317),R71*'C&amp;B'!$E$318))</f>
        <v>2167.3293939153982</v>
      </c>
      <c r="AL71" s="82">
        <f>IF(S71=0,0,IF(S71&lt;4,'C&amp;B'!$E$316+(S71*'C&amp;B'!$E$317),S71*'C&amp;B'!$E$318))</f>
        <v>1897.183541368536</v>
      </c>
      <c r="AM71" s="82">
        <f>IF(T71=0,0,IF(T71&lt;4,'C&amp;B'!$E$316+(T71*'C&amp;B'!$E$317),T71*'C&amp;B'!$E$318))</f>
        <v>2098.2869963782623</v>
      </c>
      <c r="AO71" s="130" t="s">
        <v>614</v>
      </c>
      <c r="AP71" s="82" t="e">
        <f t="shared" si="29"/>
        <v>#VALUE!</v>
      </c>
      <c r="AQ71" s="82" t="e">
        <f t="shared" si="28"/>
        <v>#VALUE!</v>
      </c>
      <c r="AR71" s="82">
        <f t="shared" si="28"/>
        <v>26327.988140177356</v>
      </c>
      <c r="AS71" s="82" t="e">
        <f t="shared" si="28"/>
        <v>#VALUE!</v>
      </c>
      <c r="AT71" s="82">
        <f t="shared" si="28"/>
        <v>26014.905548875431</v>
      </c>
      <c r="AU71" s="82" t="e">
        <f t="shared" si="28"/>
        <v>#VALUE!</v>
      </c>
      <c r="AV71" s="82">
        <f t="shared" si="28"/>
        <v>27726.89902422341</v>
      </c>
      <c r="AW71" s="82" t="e">
        <f t="shared" si="28"/>
        <v>#VALUE!</v>
      </c>
      <c r="AX71" s="82">
        <f t="shared" si="28"/>
        <v>27726.89902422341</v>
      </c>
      <c r="AY71" s="82" t="e">
        <f t="shared" si="28"/>
        <v>#VALUE!</v>
      </c>
      <c r="AZ71" s="82">
        <f t="shared" si="28"/>
        <v>27726.89902422341</v>
      </c>
      <c r="BA71" s="82" t="e">
        <f t="shared" si="28"/>
        <v>#VALUE!</v>
      </c>
      <c r="BB71" s="82">
        <f t="shared" si="28"/>
        <v>27682.544841431409</v>
      </c>
      <c r="BC71" s="82" t="e">
        <f t="shared" si="28"/>
        <v>#VALUE!</v>
      </c>
      <c r="BD71" s="82">
        <f t="shared" si="28"/>
        <v>27880.329393915399</v>
      </c>
      <c r="BE71" s="82">
        <f t="shared" si="28"/>
        <v>27427.183541368537</v>
      </c>
      <c r="BF71" s="82">
        <f t="shared" si="28"/>
        <v>26468.286996378261</v>
      </c>
    </row>
    <row r="72" spans="2:60">
      <c r="B72" s="114" t="s">
        <v>615</v>
      </c>
      <c r="C72" s="127">
        <f>SAP!D173</f>
        <v>0</v>
      </c>
      <c r="D72" s="131" t="str">
        <f>IF(IF(D$39&lt;=$C72,D$26,(((D$39-$C72)/SAP!$C$10)*'C&amp;B'!$D$13/SAP!$C$143)+D$26)&lt;=SAP!$E$151,IF(D$39&lt;=$C72,D$26,(((D$39-$C72)/SAP!$C$10)*'C&amp;B'!$D$13/SAP!$C$143)+D$26),"Not Possible")</f>
        <v>Not Possible</v>
      </c>
      <c r="E72" s="131" t="str">
        <f>IF(IF(E$39&lt;=$C72,E$26,(((E$39-$C72)/SAP!$C$10)*'C&amp;B'!$D$13/SAP!$C$143)+E$26)&lt;=SAP!$E$151,IF(E$39&lt;=$C72,E$26,(((E$39-$C72)/SAP!$C$10)*'C&amp;B'!$D$13/SAP!$C$143)+E$26),"Not Possible")</f>
        <v>Not Possible</v>
      </c>
      <c r="F72" s="131">
        <f>IF(IF(F$39&lt;=$C72,F$26,(((F$39-$C72)/SAP!$C$10)*'C&amp;B'!$D$13/SAP!$C$143)+F$26)&lt;=SAP!$E$151,IF(F$39&lt;=$C72,F$26,(((F$39-$C72)/SAP!$C$10)*'C&amp;B'!$D$13/SAP!$C$143)+F$26),"Not Possible")</f>
        <v>2.731896326940344</v>
      </c>
      <c r="G72" s="131" t="str">
        <f>IF(IF(G$39&lt;=$C72,G$26,(((G$39-$C72)/SAP!$C$10)*'C&amp;B'!$D$13/SAP!$C$143)+G$26)&lt;=SAP!$E$151,IF(G$39&lt;=$C72,G$26,(((G$39-$C72)/SAP!$C$10)*'C&amp;B'!$D$13/SAP!$C$143)+G$26),"Not Possible")</f>
        <v>Not Possible</v>
      </c>
      <c r="H72" s="131">
        <f>IF(IF(H$39&lt;=$C72,H$26,(((H$39-$C72)/SAP!$C$10)*'C&amp;B'!$D$13/SAP!$C$143)+H$26)&lt;=SAP!$E$151,IF(H$39&lt;=$C72,H$26,(((H$39-$C72)/SAP!$C$10)*'C&amp;B'!$D$13/SAP!$C$143)+H$26),"Not Possible")</f>
        <v>2.6884253414371342</v>
      </c>
      <c r="I72" s="131" t="str">
        <f>IF(IF(I$39&lt;=$C72,I$26,(((I$39-$C72)/SAP!$C$10)*'C&amp;B'!$D$13/SAP!$C$143)+I$26)&lt;=SAP!$E$151,IF(I$39&lt;=$C72,I$26,(((I$39-$C72)/SAP!$C$10)*'C&amp;B'!$D$13/SAP!$C$143)+I$26),"Not Possible")</f>
        <v>Not Possible</v>
      </c>
      <c r="J72" s="131" t="str">
        <f>IF(IF(J$39&lt;=$C72,J$26,(((J$39-$C72)/SAP!$C$10)*'C&amp;B'!$D$13/SAP!$C$143)+J$26)&lt;=SAP!$E$151,IF(J$39&lt;=$C72,J$26,(((J$39-$C72)/SAP!$C$10)*'C&amp;B'!$D$13/SAP!$C$143)+J$26),"Not Possible")</f>
        <v>Not Possible</v>
      </c>
      <c r="K72" s="131" t="str">
        <f>IF(IF(K$39&lt;=$C72,K$26,(((K$39-$C72)/SAP!$C$10)*'C&amp;B'!$D$13/SAP!$C$143)+K$26)&lt;=SAP!$E$151,IF(K$39&lt;=$C72,K$26,(((K$39-$C72)/SAP!$C$10)*'C&amp;B'!$D$13/SAP!$C$143)+K$26),"Not Possible")</f>
        <v>Not Possible</v>
      </c>
      <c r="L72" s="131" t="str">
        <f>IF(IF(L$39&lt;=$C72,L$26,(((L$39-$C72)/SAP!$C$10)*'C&amp;B'!$D$13/SAP!$C$143)+L$26)&lt;=SAP!$E$151,IF(L$39&lt;=$C72,L$26,(((L$39-$C72)/SAP!$C$10)*'C&amp;B'!$D$13/SAP!$C$143)+L$26),"Not Possible")</f>
        <v>Not Possible</v>
      </c>
      <c r="M72" s="131" t="str">
        <f>IF(IF(M$39&lt;=$C72,M$26,(((M$39-$C72)/SAP!$C$10)*'C&amp;B'!$D$13/SAP!$C$143)+M$26)&lt;=SAP!$E$151,IF(M$39&lt;=$C72,M$26,(((M$39-$C72)/SAP!$C$10)*'C&amp;B'!$D$13/SAP!$C$143)+M$26),"Not Possible")</f>
        <v>Not Possible</v>
      </c>
      <c r="N72" s="131" t="str">
        <f>IF(IF(N$39&lt;=$C72,N$26,(((N$39-$C72)/SAP!$C$10)*'C&amp;B'!$D$13/SAP!$C$143)+N$26)&lt;=SAP!$E$151,IF(N$39&lt;=$C72,N$26,(((N$39-$C72)/SAP!$C$10)*'C&amp;B'!$D$13/SAP!$C$143)+N$26),"Not Possible")</f>
        <v>Not Possible</v>
      </c>
      <c r="O72" s="131" t="str">
        <f>IF(IF(O$39&lt;=$C72,O$26,(((O$39-$C72)/SAP!$C$10)*'C&amp;B'!$D$13/SAP!$C$143)+O$26)&lt;=SAP!$E$151,IF(O$39&lt;=$C72,O$26,(((O$39-$C72)/SAP!$C$10)*'C&amp;B'!$D$13/SAP!$C$143)+O$26),"Not Possible")</f>
        <v>Not Possible</v>
      </c>
      <c r="P72" s="131" t="str">
        <f>IF(IF(P$39&lt;=$C72,P$26,(((P$39-$C72)/SAP!$C$10)*'C&amp;B'!$D$13/SAP!$C$143)+P$26)&lt;=SAP!$E$151,IF(P$39&lt;=$C72,P$26,(((P$39-$C72)/SAP!$C$10)*'C&amp;B'!$D$13/SAP!$C$143)+P$26),"Not Possible")</f>
        <v>Not Possible</v>
      </c>
      <c r="Q72" s="131" t="str">
        <f>IF(IF(Q$39&lt;=$C72,Q$26,(((Q$39-$C72)/SAP!$C$10)*'C&amp;B'!$D$13/SAP!$C$143)+Q$26)&lt;=SAP!$E$151,IF(Q$39&lt;=$C72,Q$26,(((Q$39-$C72)/SAP!$C$10)*'C&amp;B'!$D$13/SAP!$C$143)+Q$26),"Not Possible")</f>
        <v>Not Possible</v>
      </c>
      <c r="R72" s="131" t="str">
        <f>IF(IF(R$39&lt;=$C72,R$26,(((R$39-$C72)/SAP!$C$10)*'C&amp;B'!$D$13/SAP!$C$143)+R$26)&lt;=SAP!$E$151,IF(R$39&lt;=$C72,R$26,(((R$39-$C72)/SAP!$C$10)*'C&amp;B'!$D$13/SAP!$C$143)+R$26),"Not Possible")</f>
        <v>Not Possible</v>
      </c>
      <c r="S72" s="131">
        <f>IF(IF(S$39&lt;=$C72,S$26,(((S$39-$C72)/SAP!$C$10)*'C&amp;B'!$D$13/SAP!$C$143)+S$26)&lt;=SAP!$E$151,IF(S$39&lt;=$C72,S$26,(((S$39-$C72)/SAP!$C$10)*'C&amp;B'!$D$13/SAP!$C$143)+S$26),"Not Possible")</f>
        <v>2.6305553289256456</v>
      </c>
      <c r="T72" s="131">
        <f>IF(IF(T$39&lt;=$C72,T$26,(((T$39-$C72)/SAP!$C$10)*'C&amp;B'!$D$13/SAP!$C$143)+T$26)&lt;=SAP!$E$151,IF(T$39&lt;=$C72,T$26,(((T$39-$C72)/SAP!$C$10)*'C&amp;B'!$D$13/SAP!$C$143)+T$26),"Not Possible")</f>
        <v>2.9657277539418563</v>
      </c>
      <c r="V72" s="130" t="s">
        <v>615</v>
      </c>
      <c r="W72" s="82" t="e">
        <f>IF(D72=0,0,IF(D72&lt;4,'C&amp;B'!$E$316+(D72*'C&amp;B'!$E$317),D72*'C&amp;B'!$E$318))</f>
        <v>#VALUE!</v>
      </c>
      <c r="X72" s="82" t="e">
        <f>IF(E72=0,0,IF(E72&lt;4,'C&amp;B'!$E$316+(E72*'C&amp;B'!$E$317),E72*'C&amp;B'!$E$318))</f>
        <v>#VALUE!</v>
      </c>
      <c r="Y72" s="82">
        <f>IF(F72=0,0,IF(F72&lt;4,'C&amp;B'!$E$316+(F72*'C&amp;B'!$E$317),F72*'C&amp;B'!$E$318))</f>
        <v>2739.1377961642065</v>
      </c>
      <c r="Z72" s="82" t="e">
        <f>IF(G72=0,0,IF(G72&lt;4,'C&amp;B'!$E$316+(G72*'C&amp;B'!$E$317),G72*'C&amp;B'!$E$318))</f>
        <v>#VALUE!</v>
      </c>
      <c r="AA72" s="82">
        <f>IF(H72=0,0,IF(H72&lt;4,'C&amp;B'!$E$316+(H72*'C&amp;B'!$E$317),H72*'C&amp;B'!$E$318))</f>
        <v>2713.0552048622803</v>
      </c>
      <c r="AB72" s="82" t="e">
        <f>IF(I72=0,0,IF(I72&lt;4,'C&amp;B'!$E$316+(I72*'C&amp;B'!$E$317),I72*'C&amp;B'!$E$318))</f>
        <v>#VALUE!</v>
      </c>
      <c r="AC72" s="82" t="e">
        <f>IF(J72=0,0,IF(J72&lt;4,'C&amp;B'!$E$316+(J72*'C&amp;B'!$E$317),J72*'C&amp;B'!$E$318))</f>
        <v>#VALUE!</v>
      </c>
      <c r="AD72" s="82" t="e">
        <f>IF(K72=0,0,IF(K72&lt;4,'C&amp;B'!$E$316+(K72*'C&amp;B'!$E$317),K72*'C&amp;B'!$E$318))</f>
        <v>#VALUE!</v>
      </c>
      <c r="AE72" s="82" t="e">
        <f>IF(L72=0,0,IF(L72&lt;4,'C&amp;B'!$E$316+(L72*'C&amp;B'!$E$317),L72*'C&amp;B'!$E$318))</f>
        <v>#VALUE!</v>
      </c>
      <c r="AF72" s="82" t="e">
        <f>IF(M72=0,0,IF(M72&lt;4,'C&amp;B'!$E$316+(M72*'C&amp;B'!$E$317),M72*'C&amp;B'!$E$318))</f>
        <v>#VALUE!</v>
      </c>
      <c r="AG72" s="82" t="e">
        <f>IF(N72=0,0,IF(N72&lt;4,'C&amp;B'!$E$316+(N72*'C&amp;B'!$E$317),N72*'C&amp;B'!$E$318))</f>
        <v>#VALUE!</v>
      </c>
      <c r="AH72" s="82" t="e">
        <f>IF(O72=0,0,IF(O72&lt;4,'C&amp;B'!$E$316+(O72*'C&amp;B'!$E$317),O72*'C&amp;B'!$E$318))</f>
        <v>#VALUE!</v>
      </c>
      <c r="AI72" s="82" t="e">
        <f>IF(P72=0,0,IF(P72&lt;4,'C&amp;B'!$E$316+(P72*'C&amp;B'!$E$317),P72*'C&amp;B'!$E$318))</f>
        <v>#VALUE!</v>
      </c>
      <c r="AJ72" s="82" t="e">
        <f>IF(Q72=0,0,IF(Q72&lt;4,'C&amp;B'!$E$316+(Q72*'C&amp;B'!$E$317),Q72*'C&amp;B'!$E$318))</f>
        <v>#VALUE!</v>
      </c>
      <c r="AK72" s="82" t="e">
        <f>IF(R72=0,0,IF(R72&lt;4,'C&amp;B'!$E$316+(R72*'C&amp;B'!$E$317),R72*'C&amp;B'!$E$318))</f>
        <v>#VALUE!</v>
      </c>
      <c r="AL72" s="82">
        <f>IF(S72=0,0,IF(S72&lt;4,'C&amp;B'!$E$316+(S72*'C&amp;B'!$E$317),S72*'C&amp;B'!$E$318))</f>
        <v>2678.3331973553873</v>
      </c>
      <c r="AM72" s="82">
        <f>IF(T72=0,0,IF(T72&lt;4,'C&amp;B'!$E$316+(T72*'C&amp;B'!$E$317),T72*'C&amp;B'!$E$318))</f>
        <v>2879.4366523651138</v>
      </c>
      <c r="AO72" s="130" t="s">
        <v>615</v>
      </c>
      <c r="AP72" s="82" t="e">
        <f t="shared" si="29"/>
        <v>#VALUE!</v>
      </c>
      <c r="AQ72" s="82" t="e">
        <f t="shared" si="28"/>
        <v>#VALUE!</v>
      </c>
      <c r="AR72" s="82">
        <f t="shared" si="28"/>
        <v>27109.137796164207</v>
      </c>
      <c r="AS72" s="82" t="e">
        <f t="shared" si="28"/>
        <v>#VALUE!</v>
      </c>
      <c r="AT72" s="82">
        <f t="shared" si="28"/>
        <v>26796.055204862281</v>
      </c>
      <c r="AU72" s="82" t="e">
        <f t="shared" si="28"/>
        <v>#VALUE!</v>
      </c>
      <c r="AV72" s="82" t="e">
        <f t="shared" si="28"/>
        <v>#VALUE!</v>
      </c>
      <c r="AW72" s="82" t="e">
        <f t="shared" si="28"/>
        <v>#VALUE!</v>
      </c>
      <c r="AX72" s="82" t="e">
        <f t="shared" si="28"/>
        <v>#VALUE!</v>
      </c>
      <c r="AY72" s="82" t="e">
        <f t="shared" si="28"/>
        <v>#VALUE!</v>
      </c>
      <c r="AZ72" s="82" t="e">
        <f t="shared" si="28"/>
        <v>#VALUE!</v>
      </c>
      <c r="BA72" s="82" t="e">
        <f t="shared" si="28"/>
        <v>#VALUE!</v>
      </c>
      <c r="BB72" s="82" t="e">
        <f t="shared" si="28"/>
        <v>#VALUE!</v>
      </c>
      <c r="BC72" s="82" t="e">
        <f t="shared" si="28"/>
        <v>#VALUE!</v>
      </c>
      <c r="BD72" s="82" t="e">
        <f t="shared" si="28"/>
        <v>#VALUE!</v>
      </c>
      <c r="BE72" s="82">
        <f t="shared" si="28"/>
        <v>28208.333197355387</v>
      </c>
      <c r="BF72" s="82">
        <f t="shared" si="28"/>
        <v>27249.436652365115</v>
      </c>
    </row>
    <row r="73" spans="2:60">
      <c r="B73" s="71"/>
    </row>
    <row r="74" spans="2:60">
      <c r="B74" s="1" t="s">
        <v>714</v>
      </c>
      <c r="AO74" s="11" t="s">
        <v>716</v>
      </c>
    </row>
    <row r="75" spans="2:60" ht="72">
      <c r="B75" s="56" t="s">
        <v>294</v>
      </c>
      <c r="C75" s="57" t="s">
        <v>336</v>
      </c>
      <c r="D75" s="58" t="s">
        <v>343</v>
      </c>
      <c r="E75" s="58" t="s">
        <v>372</v>
      </c>
      <c r="F75" s="58" t="s">
        <v>359</v>
      </c>
      <c r="G75" s="58" t="s">
        <v>360</v>
      </c>
      <c r="H75" s="58" t="s">
        <v>361</v>
      </c>
      <c r="I75" s="58" t="s">
        <v>362</v>
      </c>
      <c r="J75" s="58" t="s">
        <v>363</v>
      </c>
      <c r="K75" s="58" t="s">
        <v>364</v>
      </c>
      <c r="L75" s="58" t="s">
        <v>351</v>
      </c>
      <c r="M75" s="58" t="s">
        <v>791</v>
      </c>
      <c r="AO75" s="144" t="s">
        <v>16</v>
      </c>
      <c r="AP75" s="117" t="s">
        <v>343</v>
      </c>
      <c r="AQ75" s="117" t="s">
        <v>435</v>
      </c>
      <c r="AR75" s="117" t="s">
        <v>436</v>
      </c>
      <c r="AS75" s="117" t="s">
        <v>437</v>
      </c>
      <c r="AT75" s="117" t="s">
        <v>438</v>
      </c>
      <c r="AU75" s="117" t="s">
        <v>439</v>
      </c>
      <c r="AV75" s="117" t="s">
        <v>440</v>
      </c>
      <c r="AW75" s="117" t="s">
        <v>441</v>
      </c>
      <c r="AX75" s="117" t="s">
        <v>442</v>
      </c>
      <c r="AY75" s="117" t="s">
        <v>443</v>
      </c>
      <c r="AZ75" s="117" t="s">
        <v>444</v>
      </c>
      <c r="BA75" s="117" t="s">
        <v>445</v>
      </c>
      <c r="BB75" s="117" t="s">
        <v>446</v>
      </c>
      <c r="BC75" s="117" t="s">
        <v>447</v>
      </c>
      <c r="BD75" s="117" t="s">
        <v>677</v>
      </c>
      <c r="BE75" s="117" t="s">
        <v>351</v>
      </c>
      <c r="BF75" s="117" t="s">
        <v>791</v>
      </c>
    </row>
    <row r="76" spans="2:60">
      <c r="B76" s="59" t="s">
        <v>310</v>
      </c>
      <c r="C76" s="129" t="s">
        <v>24</v>
      </c>
      <c r="D76" s="73">
        <f>D8*'C&amp;B'!$E$12/'C&amp;B'!$E$18</f>
        <v>3.25</v>
      </c>
      <c r="E76" s="73">
        <f>E8*'C&amp;B'!$E$12/'C&amp;B'!$E$18</f>
        <v>3.25</v>
      </c>
      <c r="F76" s="73">
        <f>G8*'C&amp;B'!$E$12/'C&amp;B'!$E$18</f>
        <v>3.75</v>
      </c>
      <c r="G76" s="73">
        <f>I8*'C&amp;B'!$E$12/'C&amp;B'!$E$18</f>
        <v>3.75</v>
      </c>
      <c r="H76" s="73">
        <f>K8*'C&amp;B'!$E$12/'C&amp;B'!$E$18</f>
        <v>3.75</v>
      </c>
      <c r="I76" s="73">
        <f>M8*'C&amp;B'!$E$12/'C&amp;B'!$E$18</f>
        <v>3.75</v>
      </c>
      <c r="J76" s="73">
        <f>O8*'C&amp;B'!$E$12/'C&amp;B'!$E$18</f>
        <v>3.75</v>
      </c>
      <c r="K76" s="73">
        <f>Q8*'C&amp;B'!$E$12/'C&amp;B'!$E$18</f>
        <v>2.75</v>
      </c>
      <c r="L76" s="73">
        <f>S8*'C&amp;B'!$E$12/'C&amp;B'!$E$18</f>
        <v>2.75</v>
      </c>
      <c r="M76" s="73">
        <f>T8*'C&amp;B'!$E$12/'C&amp;B'!$E$18</f>
        <v>3.25</v>
      </c>
      <c r="AO76" s="133" t="s">
        <v>667</v>
      </c>
      <c r="AP76" s="132"/>
      <c r="AQ76" s="132"/>
      <c r="AR76" s="132"/>
      <c r="AS76" s="132"/>
      <c r="AT76" s="132"/>
      <c r="AU76" s="132"/>
      <c r="AV76" s="132"/>
      <c r="AW76" s="132"/>
      <c r="AX76" s="132"/>
      <c r="AY76" s="132"/>
      <c r="AZ76" s="132"/>
      <c r="BA76" s="132"/>
      <c r="BB76" s="132"/>
      <c r="BC76" s="132"/>
      <c r="BD76" s="132"/>
      <c r="BE76" s="132"/>
      <c r="BF76" s="132"/>
    </row>
    <row r="77" spans="2:60">
      <c r="B77" s="59" t="s">
        <v>311</v>
      </c>
      <c r="C77" s="129" t="s">
        <v>24</v>
      </c>
      <c r="D77" s="73">
        <f>SUMPRODUCT(D6:D7,'C&amp;B'!$E$8:$E$9)</f>
        <v>8.2799999999999994</v>
      </c>
      <c r="E77" s="73">
        <f>SUMPRODUCT(E6:E7,'C&amp;B'!$E$8:$E$9)</f>
        <v>8.2799999999999994</v>
      </c>
      <c r="F77" s="73">
        <f>SUMPRODUCT(G6:G7,'C&amp;B'!$E$8:$E$9)</f>
        <v>8.2799999999999994</v>
      </c>
      <c r="G77" s="73">
        <f>SUMPRODUCT(I6:I7,'C&amp;B'!$E$8:$E$9)</f>
        <v>8.2799999999999994</v>
      </c>
      <c r="H77" s="73">
        <f>SUMPRODUCT(K6:K7,'C&amp;B'!$E$8:$E$9)</f>
        <v>8.2799999999999994</v>
      </c>
      <c r="I77" s="73">
        <f>SUMPRODUCT(M6:M7,'C&amp;B'!$E$8:$E$9)</f>
        <v>8.2799999999999994</v>
      </c>
      <c r="J77" s="73">
        <f>SUMPRODUCT(O6:O7,'C&amp;B'!$E$8:$E$9)</f>
        <v>8.2799999999999994</v>
      </c>
      <c r="K77" s="73">
        <f>SUMPRODUCT(Q6:Q7,'C&amp;B'!$E$8:$E$9)</f>
        <v>8.2799999999999994</v>
      </c>
      <c r="L77" s="73">
        <f>SUMPRODUCT(S6:S7,'C&amp;B'!$E$8:$E$9)</f>
        <v>7.74</v>
      </c>
      <c r="M77" s="73">
        <f>SUMPRODUCT(T6:T7,'C&amp;B'!$E$8:$E$9)</f>
        <v>8.2799999999999994</v>
      </c>
      <c r="AO77" s="130" t="s">
        <v>609</v>
      </c>
      <c r="AP77" s="82">
        <f>AP58-$AP$58</f>
        <v>0</v>
      </c>
      <c r="AQ77" s="82">
        <f t="shared" ref="AQ77:BF77" si="30">AQ58-$AP$58</f>
        <v>-604.06548673750876</v>
      </c>
      <c r="AR77" s="82">
        <f t="shared" si="30"/>
        <v>-8787.923076923078</v>
      </c>
      <c r="AS77" s="82">
        <f t="shared" si="30"/>
        <v>-1176.3424539419648</v>
      </c>
      <c r="AT77" s="82">
        <f t="shared" si="30"/>
        <v>-9074.923076923078</v>
      </c>
      <c r="AU77" s="82">
        <f t="shared" si="30"/>
        <v>535.65102140601812</v>
      </c>
      <c r="AV77" s="82">
        <f t="shared" si="30"/>
        <v>-7719.923076923078</v>
      </c>
      <c r="AW77" s="82">
        <f t="shared" si="30"/>
        <v>535.65102140601812</v>
      </c>
      <c r="AX77" s="82">
        <f t="shared" si="30"/>
        <v>-7719.923076923078</v>
      </c>
      <c r="AY77" s="82">
        <f t="shared" si="30"/>
        <v>535.65102140601812</v>
      </c>
      <c r="AZ77" s="82">
        <f t="shared" si="30"/>
        <v>-7719.923076923078</v>
      </c>
      <c r="BA77" s="82">
        <f t="shared" si="30"/>
        <v>275.47285419035325</v>
      </c>
      <c r="BB77" s="82">
        <f t="shared" si="30"/>
        <v>-7719.923076923078</v>
      </c>
      <c r="BC77" s="82">
        <f t="shared" si="30"/>
        <v>97.533078258449677</v>
      </c>
      <c r="BD77" s="82">
        <f t="shared" si="30"/>
        <v>-7444.923076923078</v>
      </c>
      <c r="BE77" s="82">
        <f t="shared" si="30"/>
        <v>-7627.923076923078</v>
      </c>
      <c r="BF77" s="82">
        <f t="shared" si="30"/>
        <v>-8787.923076923078</v>
      </c>
    </row>
    <row r="78" spans="2:60">
      <c r="B78" s="59" t="s">
        <v>312</v>
      </c>
      <c r="C78" s="129" t="s">
        <v>24</v>
      </c>
      <c r="D78" s="73">
        <f>SUMPRODUCT(D9:D10,'C&amp;B'!$G$10:$G$11)/'C&amp;B'!$E$18</f>
        <v>2.75</v>
      </c>
      <c r="E78" s="73">
        <f>SUMPRODUCT(E9:E10,'C&amp;B'!$G$10:$G$11)/'C&amp;B'!$E$18</f>
        <v>3.25</v>
      </c>
      <c r="F78" s="73">
        <f>SUMPRODUCT(G9:G10,'C&amp;B'!$G$10:$G$11)/'C&amp;B'!$E$18</f>
        <v>2.75</v>
      </c>
      <c r="G78" s="73">
        <f>SUMPRODUCT(I9:I10,'C&amp;B'!$G$10:$G$11)/'C&amp;B'!$E$18</f>
        <v>2.75</v>
      </c>
      <c r="H78" s="73">
        <f>SUMPRODUCT(K9:K10,'C&amp;B'!$G$10:$G$11)/'C&amp;B'!$E$18</f>
        <v>2.75</v>
      </c>
      <c r="I78" s="73">
        <f>SUMPRODUCT(M9:M10,'C&amp;B'!$G$10:$G$11)/'C&amp;B'!$E$18</f>
        <v>2.75</v>
      </c>
      <c r="J78" s="73">
        <f>SUMPRODUCT(O9:O10,'C&amp;B'!$G$10:$G$11)/'C&amp;B'!$E$18</f>
        <v>2.75</v>
      </c>
      <c r="K78" s="73">
        <f>SUMPRODUCT(Q9:Q10,'C&amp;B'!$G$10:$G$11)/'C&amp;B'!$E$18</f>
        <v>2.75</v>
      </c>
      <c r="L78" s="73">
        <f>SUMPRODUCT(S9:S10,'C&amp;B'!$G$10:$G$11)/'C&amp;B'!$E$18</f>
        <v>2.75</v>
      </c>
      <c r="M78" s="73">
        <f>SUMPRODUCT(T9:T10,'C&amp;B'!$G$10:$G$11)/'C&amp;B'!$E$18</f>
        <v>3.25</v>
      </c>
      <c r="AO78" s="130" t="s">
        <v>610</v>
      </c>
      <c r="AP78" s="82">
        <f t="shared" ref="AP78:BF83" si="31">AP59-$AP$58</f>
        <v>0</v>
      </c>
      <c r="AQ78" s="82" t="e">
        <f t="shared" si="31"/>
        <v>#VALUE!</v>
      </c>
      <c r="AR78" s="82">
        <f t="shared" si="31"/>
        <v>-8787.923076923078</v>
      </c>
      <c r="AS78" s="82" t="e">
        <f t="shared" si="31"/>
        <v>#VALUE!</v>
      </c>
      <c r="AT78" s="82">
        <f t="shared" si="31"/>
        <v>-9074.923076923078</v>
      </c>
      <c r="AU78" s="82" t="e">
        <f t="shared" si="31"/>
        <v>#VALUE!</v>
      </c>
      <c r="AV78" s="82">
        <f t="shared" si="31"/>
        <v>-7719.923076923078</v>
      </c>
      <c r="AW78" s="82" t="e">
        <f t="shared" si="31"/>
        <v>#VALUE!</v>
      </c>
      <c r="AX78" s="82">
        <f t="shared" si="31"/>
        <v>-7719.923076923078</v>
      </c>
      <c r="AY78" s="82" t="e">
        <f t="shared" si="31"/>
        <v>#VALUE!</v>
      </c>
      <c r="AZ78" s="82">
        <f t="shared" si="31"/>
        <v>-7719.923076923078</v>
      </c>
      <c r="BA78" s="82" t="e">
        <f t="shared" si="31"/>
        <v>#VALUE!</v>
      </c>
      <c r="BB78" s="82">
        <f t="shared" si="31"/>
        <v>-7719.923076923078</v>
      </c>
      <c r="BC78" s="82">
        <f t="shared" si="31"/>
        <v>541.44095945309527</v>
      </c>
      <c r="BD78" s="82">
        <f t="shared" si="31"/>
        <v>-7444.923076923078</v>
      </c>
      <c r="BE78" s="82">
        <f t="shared" si="31"/>
        <v>-7627.923076923078</v>
      </c>
      <c r="BF78" s="82">
        <f t="shared" si="31"/>
        <v>-8787.923076923078</v>
      </c>
    </row>
    <row r="79" spans="2:60">
      <c r="B79" s="59" t="s">
        <v>224</v>
      </c>
      <c r="C79" s="129" t="s">
        <v>24</v>
      </c>
      <c r="D79" s="73">
        <f>D12*'C&amp;B'!$E$14</f>
        <v>11.76</v>
      </c>
      <c r="E79" s="73">
        <f>E12*'C&amp;B'!$E$14</f>
        <v>13.72</v>
      </c>
      <c r="F79" s="73">
        <f>G12*'C&amp;B'!$E$14</f>
        <v>13.72</v>
      </c>
      <c r="G79" s="73">
        <f>I12*'C&amp;B'!$E$14</f>
        <v>13.72</v>
      </c>
      <c r="H79" s="73">
        <f>K12*'C&amp;B'!$E$14</f>
        <v>13.72</v>
      </c>
      <c r="I79" s="73">
        <f>M12*'C&amp;B'!$E$14</f>
        <v>13.72</v>
      </c>
      <c r="J79" s="73">
        <f>O12*'C&amp;B'!$E$14</f>
        <v>13.72</v>
      </c>
      <c r="K79" s="73">
        <f>Q12*'C&amp;B'!$E$14</f>
        <v>13.72</v>
      </c>
      <c r="L79" s="73">
        <f>S12*'C&amp;B'!$E$14</f>
        <v>7.8400000000000007</v>
      </c>
      <c r="M79" s="73">
        <f>T12*'C&amp;B'!$E$14</f>
        <v>13.72</v>
      </c>
      <c r="AO79" s="130" t="s">
        <v>611</v>
      </c>
      <c r="AP79" s="82">
        <f t="shared" si="31"/>
        <v>231.42376450738811</v>
      </c>
      <c r="AQ79" s="82" t="e">
        <f t="shared" si="31"/>
        <v>#VALUE!</v>
      </c>
      <c r="AR79" s="82">
        <f t="shared" si="31"/>
        <v>-8787.923076923078</v>
      </c>
      <c r="AS79" s="82" t="e">
        <f t="shared" si="31"/>
        <v>#VALUE!</v>
      </c>
      <c r="AT79" s="82">
        <f t="shared" si="31"/>
        <v>-9074.923076923078</v>
      </c>
      <c r="AU79" s="82" t="e">
        <f t="shared" si="31"/>
        <v>#VALUE!</v>
      </c>
      <c r="AV79" s="82">
        <f t="shared" si="31"/>
        <v>-7719.923076923078</v>
      </c>
      <c r="AW79" s="82" t="e">
        <f t="shared" si="31"/>
        <v>#VALUE!</v>
      </c>
      <c r="AX79" s="82">
        <f t="shared" si="31"/>
        <v>-7719.923076923078</v>
      </c>
      <c r="AY79" s="82" t="e">
        <f t="shared" si="31"/>
        <v>#VALUE!</v>
      </c>
      <c r="AZ79" s="82">
        <f t="shared" si="31"/>
        <v>-7719.923076923078</v>
      </c>
      <c r="BA79" s="82" t="e">
        <f t="shared" si="31"/>
        <v>#VALUE!</v>
      </c>
      <c r="BB79" s="82">
        <f t="shared" si="31"/>
        <v>-7719.923076923078</v>
      </c>
      <c r="BC79" s="82" t="e">
        <f t="shared" si="31"/>
        <v>#VALUE!</v>
      </c>
      <c r="BD79" s="82">
        <f t="shared" si="31"/>
        <v>-7444.923076923078</v>
      </c>
      <c r="BE79" s="82">
        <f t="shared" si="31"/>
        <v>-7627.923076923078</v>
      </c>
      <c r="BF79" s="82">
        <f t="shared" si="31"/>
        <v>-8787.923076923078</v>
      </c>
    </row>
    <row r="80" spans="2:60">
      <c r="B80" s="59" t="s">
        <v>223</v>
      </c>
      <c r="C80" s="129" t="s">
        <v>24</v>
      </c>
      <c r="D80" s="73">
        <f>D11*'C&amp;B'!$E$15</f>
        <v>2.1</v>
      </c>
      <c r="E80" s="73">
        <f>E11*'C&amp;B'!$E$15</f>
        <v>2.1</v>
      </c>
      <c r="F80" s="73">
        <f>G11*'C&amp;B'!$E$15</f>
        <v>2.94</v>
      </c>
      <c r="G80" s="73">
        <f>I11*'C&amp;B'!$E$15</f>
        <v>2.94</v>
      </c>
      <c r="H80" s="73">
        <f>K11*'C&amp;B'!$E$15</f>
        <v>2.94</v>
      </c>
      <c r="I80" s="73">
        <f>M11*'C&amp;B'!$E$15</f>
        <v>2.94</v>
      </c>
      <c r="J80" s="73">
        <f>O11*'C&amp;B'!$E$15</f>
        <v>2.94</v>
      </c>
      <c r="K80" s="73">
        <f>Q11*'C&amp;B'!$E$15</f>
        <v>2.94</v>
      </c>
      <c r="L80" s="73">
        <f>S11*'C&amp;B'!$E$15</f>
        <v>2.1</v>
      </c>
      <c r="M80" s="73">
        <f>T11*'C&amp;B'!$E$15</f>
        <v>2.1</v>
      </c>
      <c r="AO80" s="130" t="s">
        <v>612</v>
      </c>
      <c r="AP80" s="82" t="e">
        <f t="shared" si="31"/>
        <v>#VALUE!</v>
      </c>
      <c r="AQ80" s="82" t="e">
        <f t="shared" si="31"/>
        <v>#VALUE!</v>
      </c>
      <c r="AR80" s="82">
        <f t="shared" si="31"/>
        <v>-8787.923076923078</v>
      </c>
      <c r="AS80" s="82" t="e">
        <f t="shared" si="31"/>
        <v>#VALUE!</v>
      </c>
      <c r="AT80" s="82">
        <f t="shared" si="31"/>
        <v>-9074.923076923078</v>
      </c>
      <c r="AU80" s="82" t="e">
        <f t="shared" si="31"/>
        <v>#VALUE!</v>
      </c>
      <c r="AV80" s="82">
        <f t="shared" si="31"/>
        <v>-7719.923076923078</v>
      </c>
      <c r="AW80" s="82" t="e">
        <f t="shared" si="31"/>
        <v>#VALUE!</v>
      </c>
      <c r="AX80" s="82">
        <f t="shared" si="31"/>
        <v>-7719.923076923078</v>
      </c>
      <c r="AY80" s="82" t="e">
        <f t="shared" si="31"/>
        <v>#VALUE!</v>
      </c>
      <c r="AZ80" s="82">
        <f t="shared" si="31"/>
        <v>-7719.923076923078</v>
      </c>
      <c r="BA80" s="82" t="e">
        <f t="shared" si="31"/>
        <v>#VALUE!</v>
      </c>
      <c r="BB80" s="82">
        <f t="shared" si="31"/>
        <v>-7719.923076923078</v>
      </c>
      <c r="BC80" s="82" t="e">
        <f t="shared" si="31"/>
        <v>#VALUE!</v>
      </c>
      <c r="BD80" s="82">
        <f t="shared" si="31"/>
        <v>-7444.923076923078</v>
      </c>
      <c r="BE80" s="82">
        <f t="shared" si="31"/>
        <v>-7627.923076923078</v>
      </c>
      <c r="BF80" s="82">
        <f t="shared" si="31"/>
        <v>-8787.923076923078</v>
      </c>
    </row>
    <row r="81" spans="2:58">
      <c r="B81" s="59" t="s">
        <v>313</v>
      </c>
      <c r="C81" s="129" t="s">
        <v>24</v>
      </c>
      <c r="D81" s="73">
        <f>D15*'C&amp;B'!$E$20</f>
        <v>5.1950000000000003</v>
      </c>
      <c r="E81" s="73">
        <f>E15*'C&amp;B'!$E$20</f>
        <v>5.1950000000000003</v>
      </c>
      <c r="F81" s="73">
        <f>G15*'C&amp;B'!$E$20</f>
        <v>15.584999999999997</v>
      </c>
      <c r="G81" s="73">
        <f>I15*'C&amp;B'!$E$20</f>
        <v>15.584999999999997</v>
      </c>
      <c r="H81" s="73">
        <f>K15*'C&amp;B'!$E$20</f>
        <v>15.584999999999997</v>
      </c>
      <c r="I81" s="73">
        <f>M15*'C&amp;B'!$E$20</f>
        <v>15.584999999999997</v>
      </c>
      <c r="J81" s="73">
        <f>O15*'C&amp;B'!$E$20</f>
        <v>15.584999999999997</v>
      </c>
      <c r="K81" s="73">
        <f>Q15*'C&amp;B'!$E$20</f>
        <v>6.2339999999999991</v>
      </c>
      <c r="L81" s="73">
        <f>S15*'C&amp;B'!$E$20</f>
        <v>5.1950000000000003</v>
      </c>
      <c r="M81" s="73">
        <f>T15*'C&amp;B'!$E$20</f>
        <v>5.1950000000000003</v>
      </c>
      <c r="AO81" s="130" t="s">
        <v>613</v>
      </c>
      <c r="AP81" s="82" t="e">
        <f t="shared" si="31"/>
        <v>#VALUE!</v>
      </c>
      <c r="AQ81" s="82" t="e">
        <f t="shared" si="31"/>
        <v>#VALUE!</v>
      </c>
      <c r="AR81" s="82">
        <f t="shared" si="31"/>
        <v>-8787.923076923078</v>
      </c>
      <c r="AS81" s="82" t="e">
        <f t="shared" si="31"/>
        <v>#VALUE!</v>
      </c>
      <c r="AT81" s="82">
        <f t="shared" si="31"/>
        <v>-9074.923076923078</v>
      </c>
      <c r="AU81" s="82" t="e">
        <f t="shared" si="31"/>
        <v>#VALUE!</v>
      </c>
      <c r="AV81" s="82">
        <f t="shared" si="31"/>
        <v>-7719.923076923078</v>
      </c>
      <c r="AW81" s="82" t="e">
        <f t="shared" si="31"/>
        <v>#VALUE!</v>
      </c>
      <c r="AX81" s="82">
        <f t="shared" si="31"/>
        <v>-7719.923076923078</v>
      </c>
      <c r="AY81" s="82" t="e">
        <f t="shared" si="31"/>
        <v>#VALUE!</v>
      </c>
      <c r="AZ81" s="82">
        <f t="shared" si="31"/>
        <v>-7719.923076923078</v>
      </c>
      <c r="BA81" s="82" t="e">
        <f t="shared" si="31"/>
        <v>#VALUE!</v>
      </c>
      <c r="BB81" s="82">
        <f t="shared" si="31"/>
        <v>-7719.923076923078</v>
      </c>
      <c r="BC81" s="82" t="e">
        <f t="shared" si="31"/>
        <v>#VALUE!</v>
      </c>
      <c r="BD81" s="82">
        <f t="shared" si="31"/>
        <v>-7444.923076923078</v>
      </c>
      <c r="BE81" s="82">
        <f t="shared" si="31"/>
        <v>-7627.923076923078</v>
      </c>
      <c r="BF81" s="82">
        <f t="shared" si="31"/>
        <v>-8787.923076923078</v>
      </c>
    </row>
    <row r="82" spans="2:58">
      <c r="B82" s="59" t="s">
        <v>314</v>
      </c>
      <c r="C82" s="129" t="s">
        <v>24</v>
      </c>
      <c r="D82" s="73">
        <f>1/3*0.5*'C&amp;B'!$E$19*(1-'1BedFlat'!D13)</f>
        <v>20</v>
      </c>
      <c r="E82" s="73">
        <f>1/3*0.5*'C&amp;B'!$E$19*(1-'1BedFlat'!E13)</f>
        <v>20</v>
      </c>
      <c r="F82" s="73">
        <f>1/3*0.5*'C&amp;B'!$E$19*(1-'1BedFlat'!G13)</f>
        <v>5</v>
      </c>
      <c r="G82" s="73">
        <f>1/3*0.5*'C&amp;B'!$E$19*(1-'1BedFlat'!I13)</f>
        <v>5</v>
      </c>
      <c r="H82" s="73">
        <f>1/3*0.5*'C&amp;B'!$E$19*(1-'1BedFlat'!K13)</f>
        <v>5</v>
      </c>
      <c r="I82" s="73">
        <f>1/3*0.5*'C&amp;B'!$E$19*(1-'1BedFlat'!M13)</f>
        <v>5</v>
      </c>
      <c r="J82" s="73">
        <f>1/3*0.5*'C&amp;B'!$E$19*(1-'1BedFlat'!O13)</f>
        <v>5</v>
      </c>
      <c r="K82" s="73">
        <f>1/3*0.5*'C&amp;B'!$E$19*(1-'1BedFlat'!Q13)</f>
        <v>5</v>
      </c>
      <c r="L82" s="73">
        <f>1/3*0.5*'C&amp;B'!$E$19*(1-'1BedFlat'!S13)</f>
        <v>20</v>
      </c>
      <c r="M82" s="73">
        <f>1/3*0.5*'C&amp;B'!$E$19*(1-'1BedFlat'!T13)</f>
        <v>20</v>
      </c>
      <c r="AO82" s="130" t="s">
        <v>614</v>
      </c>
      <c r="AP82" s="82" t="e">
        <f t="shared" si="31"/>
        <v>#VALUE!</v>
      </c>
      <c r="AQ82" s="82" t="e">
        <f t="shared" si="31"/>
        <v>#VALUE!</v>
      </c>
      <c r="AR82" s="82">
        <f t="shared" si="31"/>
        <v>-8787.923076923078</v>
      </c>
      <c r="AS82" s="82" t="e">
        <f t="shared" si="31"/>
        <v>#VALUE!</v>
      </c>
      <c r="AT82" s="82">
        <f t="shared" si="31"/>
        <v>-9074.923076923078</v>
      </c>
      <c r="AU82" s="82" t="e">
        <f t="shared" si="31"/>
        <v>#VALUE!</v>
      </c>
      <c r="AV82" s="82">
        <f t="shared" si="31"/>
        <v>-7719.923076923078</v>
      </c>
      <c r="AW82" s="82" t="e">
        <f t="shared" si="31"/>
        <v>#VALUE!</v>
      </c>
      <c r="AX82" s="82">
        <f t="shared" si="31"/>
        <v>-7719.923076923078</v>
      </c>
      <c r="AY82" s="82" t="e">
        <f t="shared" si="31"/>
        <v>#VALUE!</v>
      </c>
      <c r="AZ82" s="82">
        <f t="shared" si="31"/>
        <v>-7719.923076923078</v>
      </c>
      <c r="BA82" s="82" t="e">
        <f t="shared" si="31"/>
        <v>#VALUE!</v>
      </c>
      <c r="BB82" s="82">
        <f t="shared" si="31"/>
        <v>-7719.923076923078</v>
      </c>
      <c r="BC82" s="82" t="e">
        <f t="shared" si="31"/>
        <v>#VALUE!</v>
      </c>
      <c r="BD82" s="82">
        <f t="shared" si="31"/>
        <v>-7444.923076923078</v>
      </c>
      <c r="BE82" s="82">
        <f t="shared" si="31"/>
        <v>-7627.923076923078</v>
      </c>
      <c r="BF82" s="82">
        <f t="shared" si="31"/>
        <v>-8787.923076923078</v>
      </c>
    </row>
    <row r="83" spans="2:58">
      <c r="B83" s="59" t="s">
        <v>315</v>
      </c>
      <c r="C83" s="129" t="s">
        <v>24</v>
      </c>
      <c r="D83" s="73">
        <f>1/3*(D14/20)*'C&amp;B'!$E$19</f>
        <v>10</v>
      </c>
      <c r="E83" s="73">
        <f>1/3*(E14/20)*'C&amp;B'!$E$19</f>
        <v>10</v>
      </c>
      <c r="F83" s="73">
        <f>1/3*(G14/20)*'C&amp;B'!$E$19</f>
        <v>8</v>
      </c>
      <c r="G83" s="73">
        <f>1/3*(I14/20)*'C&amp;B'!$E$19</f>
        <v>8</v>
      </c>
      <c r="H83" s="73">
        <f>1/3*(K14/20)*'C&amp;B'!$E$19</f>
        <v>8</v>
      </c>
      <c r="I83" s="73">
        <f>1/3*(M14/20)*'C&amp;B'!$E$19</f>
        <v>8</v>
      </c>
      <c r="J83" s="73">
        <f>1/3*(O14/20)*'C&amp;B'!$E$19</f>
        <v>8</v>
      </c>
      <c r="K83" s="73">
        <f>1/3*(Q14/20)*'C&amp;B'!$E$19</f>
        <v>8</v>
      </c>
      <c r="L83" s="73">
        <f>1/3*(S14/20)*'C&amp;B'!$E$19</f>
        <v>10</v>
      </c>
      <c r="M83" s="73">
        <f>1/3*(T14/20)*'C&amp;B'!$E$19</f>
        <v>10</v>
      </c>
      <c r="AO83" s="130" t="s">
        <v>615</v>
      </c>
      <c r="AP83" s="82" t="e">
        <f t="shared" si="31"/>
        <v>#VALUE!</v>
      </c>
      <c r="AQ83" s="82" t="e">
        <f t="shared" si="31"/>
        <v>#VALUE!</v>
      </c>
      <c r="AR83" s="82">
        <f t="shared" si="31"/>
        <v>-6048.7852807588715</v>
      </c>
      <c r="AS83" s="82" t="e">
        <f t="shared" si="31"/>
        <v>#VALUE!</v>
      </c>
      <c r="AT83" s="82">
        <f t="shared" si="31"/>
        <v>-6361.8678720607968</v>
      </c>
      <c r="AU83" s="82" t="e">
        <f t="shared" si="31"/>
        <v>#VALUE!</v>
      </c>
      <c r="AV83" s="82" t="e">
        <f t="shared" si="31"/>
        <v>#VALUE!</v>
      </c>
      <c r="AW83" s="82" t="e">
        <f t="shared" si="31"/>
        <v>#VALUE!</v>
      </c>
      <c r="AX83" s="82" t="e">
        <f t="shared" si="31"/>
        <v>#VALUE!</v>
      </c>
      <c r="AY83" s="82" t="e">
        <f t="shared" si="31"/>
        <v>#VALUE!</v>
      </c>
      <c r="AZ83" s="82" t="e">
        <f t="shared" si="31"/>
        <v>#VALUE!</v>
      </c>
      <c r="BA83" s="82" t="e">
        <f t="shared" si="31"/>
        <v>#VALUE!</v>
      </c>
      <c r="BB83" s="82" t="e">
        <f t="shared" si="31"/>
        <v>#VALUE!</v>
      </c>
      <c r="BC83" s="82" t="e">
        <f t="shared" si="31"/>
        <v>#VALUE!</v>
      </c>
      <c r="BD83" s="82" t="e">
        <f t="shared" si="31"/>
        <v>#VALUE!</v>
      </c>
      <c r="BE83" s="82">
        <f t="shared" si="31"/>
        <v>-4949.5898795676912</v>
      </c>
      <c r="BF83" s="82">
        <f t="shared" si="31"/>
        <v>-5908.4864245579629</v>
      </c>
    </row>
    <row r="84" spans="2:58">
      <c r="B84" s="59" t="s">
        <v>316</v>
      </c>
      <c r="C84" s="129" t="s">
        <v>24</v>
      </c>
      <c r="D84" s="73">
        <f>SUM(D76:D81)</f>
        <v>33.335000000000001</v>
      </c>
      <c r="E84" s="73">
        <f t="shared" ref="E84:M84" si="32">SUM(E76:E81)</f>
        <v>35.795000000000002</v>
      </c>
      <c r="F84" s="73">
        <f t="shared" si="32"/>
        <v>47.024999999999999</v>
      </c>
      <c r="G84" s="73">
        <f t="shared" si="32"/>
        <v>47.024999999999999</v>
      </c>
      <c r="H84" s="73">
        <f t="shared" si="32"/>
        <v>47.024999999999999</v>
      </c>
      <c r="I84" s="73">
        <f t="shared" si="32"/>
        <v>47.024999999999999</v>
      </c>
      <c r="J84" s="73">
        <f t="shared" si="32"/>
        <v>47.024999999999999</v>
      </c>
      <c r="K84" s="73">
        <f t="shared" si="32"/>
        <v>36.673999999999999</v>
      </c>
      <c r="L84" s="73">
        <f t="shared" si="32"/>
        <v>28.375000000000004</v>
      </c>
      <c r="M84" s="73">
        <f t="shared" si="32"/>
        <v>35.795000000000002</v>
      </c>
      <c r="AO84" s="133" t="s">
        <v>668</v>
      </c>
      <c r="AP84" s="82"/>
      <c r="AQ84" s="82"/>
      <c r="AR84" s="82"/>
      <c r="AS84" s="82"/>
      <c r="AT84" s="82"/>
      <c r="AU84" s="82"/>
      <c r="AV84" s="82"/>
      <c r="AW84" s="82"/>
      <c r="AX84" s="82"/>
      <c r="AY84" s="82"/>
      <c r="AZ84" s="82"/>
      <c r="BA84" s="82"/>
      <c r="BB84" s="82"/>
      <c r="BC84" s="82"/>
      <c r="BD84" s="82"/>
      <c r="BE84" s="82"/>
      <c r="BF84" s="82"/>
    </row>
    <row r="85" spans="2:58">
      <c r="B85" s="59" t="s">
        <v>317</v>
      </c>
      <c r="C85" s="129" t="s">
        <v>24</v>
      </c>
      <c r="D85" s="73">
        <f>SUM(D82:D83)</f>
        <v>30</v>
      </c>
      <c r="E85" s="73">
        <f t="shared" ref="E85:M85" si="33">SUM(E82:E83)</f>
        <v>30</v>
      </c>
      <c r="F85" s="73">
        <f t="shared" si="33"/>
        <v>13</v>
      </c>
      <c r="G85" s="73">
        <f t="shared" si="33"/>
        <v>13</v>
      </c>
      <c r="H85" s="73">
        <f t="shared" si="33"/>
        <v>13</v>
      </c>
      <c r="I85" s="73">
        <f t="shared" si="33"/>
        <v>13</v>
      </c>
      <c r="J85" s="73">
        <f t="shared" si="33"/>
        <v>13</v>
      </c>
      <c r="K85" s="73">
        <f t="shared" si="33"/>
        <v>13</v>
      </c>
      <c r="L85" s="73">
        <f t="shared" si="33"/>
        <v>30</v>
      </c>
      <c r="M85" s="73">
        <f t="shared" si="33"/>
        <v>30</v>
      </c>
      <c r="AO85" s="130" t="s">
        <v>609</v>
      </c>
      <c r="AP85" s="82" t="e">
        <f>AP66-$BE$66</f>
        <v>#VALUE!</v>
      </c>
      <c r="AQ85" s="82" t="e">
        <f t="shared" ref="AQ85:BF85" si="34">AQ66-$BE$66</f>
        <v>#VALUE!</v>
      </c>
      <c r="AR85" s="82">
        <f t="shared" si="34"/>
        <v>-1099.1954011911803</v>
      </c>
      <c r="AS85" s="82" t="e">
        <f t="shared" si="34"/>
        <v>#VALUE!</v>
      </c>
      <c r="AT85" s="82">
        <f t="shared" si="34"/>
        <v>-1412.2779924931056</v>
      </c>
      <c r="AU85" s="82" t="e">
        <f t="shared" si="34"/>
        <v>#VALUE!</v>
      </c>
      <c r="AV85" s="82">
        <f t="shared" si="34"/>
        <v>299.71548285487734</v>
      </c>
      <c r="AW85" s="82" t="e">
        <f t="shared" si="34"/>
        <v>#VALUE!</v>
      </c>
      <c r="AX85" s="82">
        <f t="shared" si="34"/>
        <v>299.71548285487734</v>
      </c>
      <c r="AY85" s="82" t="e">
        <f t="shared" si="34"/>
        <v>#VALUE!</v>
      </c>
      <c r="AZ85" s="82">
        <f t="shared" si="34"/>
        <v>299.71548285487734</v>
      </c>
      <c r="BA85" s="82" t="e">
        <f t="shared" si="34"/>
        <v>#VALUE!</v>
      </c>
      <c r="BB85" s="82">
        <f t="shared" si="34"/>
        <v>255.36130006287203</v>
      </c>
      <c r="BC85" s="82" t="e">
        <f t="shared" si="34"/>
        <v>#VALUE!</v>
      </c>
      <c r="BD85" s="82">
        <f t="shared" si="34"/>
        <v>453.14585254686244</v>
      </c>
      <c r="BE85" s="82">
        <f t="shared" si="34"/>
        <v>0</v>
      </c>
      <c r="BF85" s="82">
        <f t="shared" si="34"/>
        <v>-958.89654499027165</v>
      </c>
    </row>
    <row r="86" spans="2:58">
      <c r="B86" s="59" t="s">
        <v>318</v>
      </c>
      <c r="C86" s="129" t="s">
        <v>24</v>
      </c>
      <c r="D86" s="73">
        <f>SUM(D84:D85)</f>
        <v>63.335000000000001</v>
      </c>
      <c r="E86" s="73">
        <f t="shared" ref="E86:M86" si="35">SUM(E84:E85)</f>
        <v>65.795000000000002</v>
      </c>
      <c r="F86" s="73">
        <f t="shared" si="35"/>
        <v>60.024999999999999</v>
      </c>
      <c r="G86" s="73">
        <f t="shared" si="35"/>
        <v>60.024999999999999</v>
      </c>
      <c r="H86" s="73">
        <f t="shared" si="35"/>
        <v>60.024999999999999</v>
      </c>
      <c r="I86" s="73">
        <f t="shared" si="35"/>
        <v>60.024999999999999</v>
      </c>
      <c r="J86" s="73">
        <f t="shared" si="35"/>
        <v>60.024999999999999</v>
      </c>
      <c r="K86" s="73">
        <f t="shared" si="35"/>
        <v>49.673999999999999</v>
      </c>
      <c r="L86" s="73">
        <f t="shared" si="35"/>
        <v>58.375</v>
      </c>
      <c r="M86" s="73">
        <f t="shared" si="35"/>
        <v>65.795000000000002</v>
      </c>
      <c r="AO86" s="130" t="s">
        <v>610</v>
      </c>
      <c r="AP86" s="82" t="e">
        <f t="shared" ref="AP86:BF87" si="36">AP67-$BE$66</f>
        <v>#VALUE!</v>
      </c>
      <c r="AQ86" s="82" t="e">
        <f t="shared" si="36"/>
        <v>#VALUE!</v>
      </c>
      <c r="AR86" s="82">
        <f t="shared" si="36"/>
        <v>-942.96546999380735</v>
      </c>
      <c r="AS86" s="82" t="e">
        <f t="shared" si="36"/>
        <v>#VALUE!</v>
      </c>
      <c r="AT86" s="82">
        <f t="shared" si="36"/>
        <v>-1256.0480612957363</v>
      </c>
      <c r="AU86" s="82" t="e">
        <f t="shared" si="36"/>
        <v>#VALUE!</v>
      </c>
      <c r="AV86" s="82">
        <f t="shared" si="36"/>
        <v>455.94541405224663</v>
      </c>
      <c r="AW86" s="82" t="e">
        <f t="shared" si="36"/>
        <v>#VALUE!</v>
      </c>
      <c r="AX86" s="82">
        <f t="shared" si="36"/>
        <v>455.94541405224663</v>
      </c>
      <c r="AY86" s="82" t="e">
        <f t="shared" si="36"/>
        <v>#VALUE!</v>
      </c>
      <c r="AZ86" s="82">
        <f t="shared" si="36"/>
        <v>455.94541405224663</v>
      </c>
      <c r="BA86" s="82" t="e">
        <f t="shared" si="36"/>
        <v>#VALUE!</v>
      </c>
      <c r="BB86" s="82">
        <f t="shared" si="36"/>
        <v>411.59123126024497</v>
      </c>
      <c r="BC86" s="82" t="e">
        <f t="shared" si="36"/>
        <v>#VALUE!</v>
      </c>
      <c r="BD86" s="82">
        <f t="shared" si="36"/>
        <v>609.37578374423538</v>
      </c>
      <c r="BE86" s="82">
        <f t="shared" si="36"/>
        <v>156.22993119737293</v>
      </c>
      <c r="BF86" s="82">
        <f t="shared" si="36"/>
        <v>-802.66661379290235</v>
      </c>
    </row>
    <row r="87" spans="2:58">
      <c r="B87" s="165" t="s">
        <v>785</v>
      </c>
      <c r="C87" s="129" t="s">
        <v>450</v>
      </c>
      <c r="D87" s="73">
        <f>$C$92*(D86^2)+(D86*$C$93)+$C$94</f>
        <v>27.388964571999963</v>
      </c>
      <c r="E87" s="53">
        <f>E27</f>
        <v>27.93</v>
      </c>
      <c r="F87" s="73">
        <f>$C$92*(F86^2)+(F86*$C$93)+$C$94</f>
        <v>22.0997792</v>
      </c>
      <c r="G87" s="73">
        <f t="shared" ref="G87:I87" si="37">$C$92*(G86^2)+(G86*$C$93)+$C$94</f>
        <v>22.0997792</v>
      </c>
      <c r="H87" s="73">
        <f t="shared" si="37"/>
        <v>22.0997792</v>
      </c>
      <c r="I87" s="73">
        <f t="shared" si="37"/>
        <v>22.0997792</v>
      </c>
      <c r="J87" s="53">
        <f>O27</f>
        <v>19.399999999999999</v>
      </c>
      <c r="K87" s="53">
        <f>Q27</f>
        <v>14.7</v>
      </c>
      <c r="L87" s="73">
        <f>$C$92*(L86^2)+(L86*$C$93)+$C$94</f>
        <v>19.986297500000006</v>
      </c>
      <c r="M87" s="73">
        <f>$C$92*(M86^2)+(M86*$C$93)+$C$94</f>
        <v>32.227193188000001</v>
      </c>
      <c r="AO87" s="130" t="s">
        <v>611</v>
      </c>
      <c r="AP87" s="82" t="e">
        <f t="shared" si="36"/>
        <v>#VALUE!</v>
      </c>
      <c r="AQ87" s="82" t="e">
        <f t="shared" si="36"/>
        <v>#VALUE!</v>
      </c>
      <c r="AR87" s="82">
        <f t="shared" si="36"/>
        <v>-786.73553879643805</v>
      </c>
      <c r="AS87" s="82" t="e">
        <f t="shared" si="36"/>
        <v>#VALUE!</v>
      </c>
      <c r="AT87" s="82">
        <f t="shared" si="36"/>
        <v>-1099.8181300983633</v>
      </c>
      <c r="AU87" s="82" t="e">
        <f t="shared" si="36"/>
        <v>#VALUE!</v>
      </c>
      <c r="AV87" s="82">
        <f t="shared" si="36"/>
        <v>612.17534524961593</v>
      </c>
      <c r="AW87" s="82" t="e">
        <f t="shared" si="36"/>
        <v>#VALUE!</v>
      </c>
      <c r="AX87" s="82">
        <f t="shared" si="36"/>
        <v>612.17534524961593</v>
      </c>
      <c r="AY87" s="82" t="e">
        <f t="shared" si="36"/>
        <v>#VALUE!</v>
      </c>
      <c r="AZ87" s="82">
        <f t="shared" si="36"/>
        <v>612.17534524961593</v>
      </c>
      <c r="BA87" s="82" t="e">
        <f t="shared" si="36"/>
        <v>#VALUE!</v>
      </c>
      <c r="BB87" s="82">
        <f t="shared" si="36"/>
        <v>567.82116245761426</v>
      </c>
      <c r="BC87" s="82" t="e">
        <f t="shared" si="36"/>
        <v>#VALUE!</v>
      </c>
      <c r="BD87" s="82">
        <f t="shared" si="36"/>
        <v>765.60571494160467</v>
      </c>
      <c r="BE87" s="82">
        <f t="shared" si="36"/>
        <v>312.45986239474223</v>
      </c>
      <c r="BF87" s="82">
        <f t="shared" si="36"/>
        <v>-646.43668259553306</v>
      </c>
    </row>
    <row r="88" spans="2:58">
      <c r="B88" s="166"/>
      <c r="C88" s="167"/>
      <c r="D88" s="168"/>
      <c r="E88" s="168"/>
      <c r="F88" s="168"/>
      <c r="G88" s="168"/>
      <c r="H88" s="168"/>
      <c r="I88" s="168"/>
      <c r="J88" s="168"/>
      <c r="K88" s="168"/>
      <c r="L88" s="168"/>
      <c r="M88" s="168"/>
      <c r="AO88" s="130"/>
      <c r="AP88" s="82"/>
      <c r="AQ88" s="82"/>
      <c r="AR88" s="82"/>
      <c r="AS88" s="82"/>
      <c r="AT88" s="82"/>
      <c r="AU88" s="82"/>
      <c r="AV88" s="82"/>
      <c r="AW88" s="82"/>
      <c r="AX88" s="82"/>
      <c r="AY88" s="82"/>
      <c r="AZ88" s="82"/>
      <c r="BA88" s="82"/>
      <c r="BB88" s="82"/>
      <c r="BC88" s="82"/>
      <c r="BD88" s="82"/>
      <c r="BE88" s="82"/>
      <c r="BF88" s="82"/>
    </row>
    <row r="89" spans="2:58">
      <c r="B89" s="1" t="s">
        <v>390</v>
      </c>
      <c r="AO89" s="130" t="s">
        <v>612</v>
      </c>
      <c r="AP89" s="82" t="e">
        <f t="shared" ref="AP89:BF89" si="38">AP69-$BE$66</f>
        <v>#VALUE!</v>
      </c>
      <c r="AQ89" s="82" t="e">
        <f t="shared" si="38"/>
        <v>#VALUE!</v>
      </c>
      <c r="AR89" s="82">
        <f t="shared" si="38"/>
        <v>-630.50560759906875</v>
      </c>
      <c r="AS89" s="82" t="e">
        <f t="shared" si="38"/>
        <v>#VALUE!</v>
      </c>
      <c r="AT89" s="82">
        <f t="shared" si="38"/>
        <v>-943.58819890099403</v>
      </c>
      <c r="AU89" s="82" t="e">
        <f t="shared" si="38"/>
        <v>#VALUE!</v>
      </c>
      <c r="AV89" s="82">
        <f t="shared" si="38"/>
        <v>768.40527644698886</v>
      </c>
      <c r="AW89" s="82" t="e">
        <f t="shared" si="38"/>
        <v>#VALUE!</v>
      </c>
      <c r="AX89" s="82">
        <f t="shared" si="38"/>
        <v>768.40527644698886</v>
      </c>
      <c r="AY89" s="82" t="e">
        <f t="shared" si="38"/>
        <v>#VALUE!</v>
      </c>
      <c r="AZ89" s="82">
        <f t="shared" si="38"/>
        <v>768.40527644698886</v>
      </c>
      <c r="BA89" s="82" t="e">
        <f t="shared" si="38"/>
        <v>#VALUE!</v>
      </c>
      <c r="BB89" s="82">
        <f t="shared" si="38"/>
        <v>724.05109365498356</v>
      </c>
      <c r="BC89" s="82" t="e">
        <f t="shared" si="38"/>
        <v>#VALUE!</v>
      </c>
      <c r="BD89" s="82">
        <f t="shared" si="38"/>
        <v>921.83564613897397</v>
      </c>
      <c r="BE89" s="82">
        <f t="shared" si="38"/>
        <v>468.68979359211153</v>
      </c>
      <c r="BF89" s="82">
        <f t="shared" si="38"/>
        <v>-490.20675139816012</v>
      </c>
    </row>
    <row r="90" spans="2:58">
      <c r="B90" t="s">
        <v>391</v>
      </c>
      <c r="AO90" s="130" t="s">
        <v>613</v>
      </c>
      <c r="AP90" s="82" t="e">
        <f t="shared" ref="AP90:BF90" si="39">AP70-$BE$66</f>
        <v>#VALUE!</v>
      </c>
      <c r="AQ90" s="82" t="e">
        <f t="shared" si="39"/>
        <v>#VALUE!</v>
      </c>
      <c r="AR90" s="82">
        <f t="shared" si="39"/>
        <v>-474.27567640169946</v>
      </c>
      <c r="AS90" s="82" t="e">
        <f t="shared" si="39"/>
        <v>#VALUE!</v>
      </c>
      <c r="AT90" s="82">
        <f t="shared" si="39"/>
        <v>-787.35826770362473</v>
      </c>
      <c r="AU90" s="82" t="e">
        <f t="shared" si="39"/>
        <v>#VALUE!</v>
      </c>
      <c r="AV90" s="82">
        <f t="shared" si="39"/>
        <v>924.63520764435816</v>
      </c>
      <c r="AW90" s="82" t="e">
        <f t="shared" si="39"/>
        <v>#VALUE!</v>
      </c>
      <c r="AX90" s="82">
        <f t="shared" si="39"/>
        <v>924.63520764435816</v>
      </c>
      <c r="AY90" s="82" t="e">
        <f t="shared" si="39"/>
        <v>#VALUE!</v>
      </c>
      <c r="AZ90" s="82">
        <f t="shared" si="39"/>
        <v>924.63520764435816</v>
      </c>
      <c r="BA90" s="82" t="e">
        <f t="shared" si="39"/>
        <v>#VALUE!</v>
      </c>
      <c r="BB90" s="82">
        <f t="shared" si="39"/>
        <v>880.2810248523565</v>
      </c>
      <c r="BC90" s="82" t="e">
        <f t="shared" si="39"/>
        <v>#VALUE!</v>
      </c>
      <c r="BD90" s="82">
        <f t="shared" si="39"/>
        <v>1078.0655773363433</v>
      </c>
      <c r="BE90" s="82">
        <f t="shared" si="39"/>
        <v>624.91972478948446</v>
      </c>
      <c r="BF90" s="82">
        <f t="shared" si="39"/>
        <v>-333.97682020079083</v>
      </c>
    </row>
    <row r="91" spans="2:58">
      <c r="B91" t="s">
        <v>392</v>
      </c>
      <c r="AO91" s="130" t="s">
        <v>614</v>
      </c>
      <c r="AP91" s="82" t="e">
        <f t="shared" ref="AP91:BF91" si="40">AP71-$BE$66</f>
        <v>#VALUE!</v>
      </c>
      <c r="AQ91" s="82" t="e">
        <f t="shared" si="40"/>
        <v>#VALUE!</v>
      </c>
      <c r="AR91" s="82">
        <f t="shared" si="40"/>
        <v>-318.04574520432652</v>
      </c>
      <c r="AS91" s="82" t="e">
        <f t="shared" si="40"/>
        <v>#VALUE!</v>
      </c>
      <c r="AT91" s="82">
        <f t="shared" si="40"/>
        <v>-631.1283365062518</v>
      </c>
      <c r="AU91" s="82" t="e">
        <f t="shared" si="40"/>
        <v>#VALUE!</v>
      </c>
      <c r="AV91" s="82">
        <f t="shared" si="40"/>
        <v>1080.8651388417275</v>
      </c>
      <c r="AW91" s="82" t="e">
        <f t="shared" si="40"/>
        <v>#VALUE!</v>
      </c>
      <c r="AX91" s="82">
        <f t="shared" si="40"/>
        <v>1080.8651388417275</v>
      </c>
      <c r="AY91" s="82" t="e">
        <f t="shared" si="40"/>
        <v>#VALUE!</v>
      </c>
      <c r="AZ91" s="82">
        <f t="shared" si="40"/>
        <v>1080.8651388417275</v>
      </c>
      <c r="BA91" s="82" t="e">
        <f t="shared" si="40"/>
        <v>#VALUE!</v>
      </c>
      <c r="BB91" s="82">
        <f t="shared" si="40"/>
        <v>1036.5109560497258</v>
      </c>
      <c r="BC91" s="82" t="e">
        <f t="shared" si="40"/>
        <v>#VALUE!</v>
      </c>
      <c r="BD91" s="82">
        <f t="shared" si="40"/>
        <v>1234.2955085337162</v>
      </c>
      <c r="BE91" s="82">
        <f t="shared" si="40"/>
        <v>781.14965598685376</v>
      </c>
      <c r="BF91" s="82">
        <f t="shared" si="40"/>
        <v>-177.74688900342153</v>
      </c>
    </row>
    <row r="92" spans="2:58">
      <c r="B92" t="s">
        <v>393</v>
      </c>
      <c r="C92" s="162">
        <v>6.3920000000000005E-2</v>
      </c>
      <c r="AO92" s="130" t="s">
        <v>615</v>
      </c>
      <c r="AP92" s="82" t="e">
        <f t="shared" ref="AP92:BF92" si="41">AP72-$BE$66</f>
        <v>#VALUE!</v>
      </c>
      <c r="AQ92" s="82" t="e">
        <f t="shared" si="41"/>
        <v>#VALUE!</v>
      </c>
      <c r="AR92" s="82">
        <f t="shared" si="41"/>
        <v>463.1039107825236</v>
      </c>
      <c r="AS92" s="82" t="e">
        <f t="shared" si="41"/>
        <v>#VALUE!</v>
      </c>
      <c r="AT92" s="82">
        <f t="shared" si="41"/>
        <v>150.02131948059832</v>
      </c>
      <c r="AU92" s="82" t="e">
        <f t="shared" si="41"/>
        <v>#VALUE!</v>
      </c>
      <c r="AV92" s="82" t="e">
        <f t="shared" si="41"/>
        <v>#VALUE!</v>
      </c>
      <c r="AW92" s="82" t="e">
        <f t="shared" si="41"/>
        <v>#VALUE!</v>
      </c>
      <c r="AX92" s="82" t="e">
        <f t="shared" si="41"/>
        <v>#VALUE!</v>
      </c>
      <c r="AY92" s="82" t="e">
        <f t="shared" si="41"/>
        <v>#VALUE!</v>
      </c>
      <c r="AZ92" s="82" t="e">
        <f t="shared" si="41"/>
        <v>#VALUE!</v>
      </c>
      <c r="BA92" s="82" t="e">
        <f t="shared" si="41"/>
        <v>#VALUE!</v>
      </c>
      <c r="BB92" s="82" t="e">
        <f t="shared" si="41"/>
        <v>#VALUE!</v>
      </c>
      <c r="BC92" s="82" t="e">
        <f t="shared" si="41"/>
        <v>#VALUE!</v>
      </c>
      <c r="BD92" s="82" t="e">
        <f t="shared" si="41"/>
        <v>#VALUE!</v>
      </c>
      <c r="BE92" s="82">
        <f t="shared" si="41"/>
        <v>1562.2993119737039</v>
      </c>
      <c r="BF92" s="82">
        <f t="shared" si="41"/>
        <v>603.40276698343223</v>
      </c>
    </row>
    <row r="93" spans="2:58">
      <c r="B93" t="s">
        <v>394</v>
      </c>
      <c r="C93" s="162">
        <v>-6.2872300000000001</v>
      </c>
    </row>
    <row r="94" spans="2:58">
      <c r="B94" t="s">
        <v>395</v>
      </c>
      <c r="C94" s="162">
        <v>169.18696</v>
      </c>
      <c r="AO94" s="11" t="s">
        <v>717</v>
      </c>
    </row>
    <row r="95" spans="2:58" ht="72">
      <c r="AO95" s="144" t="s">
        <v>16</v>
      </c>
      <c r="AP95" s="117" t="s">
        <v>343</v>
      </c>
      <c r="AQ95" s="117" t="s">
        <v>435</v>
      </c>
      <c r="AR95" s="117" t="s">
        <v>436</v>
      </c>
      <c r="AS95" s="117" t="s">
        <v>437</v>
      </c>
      <c r="AT95" s="117" t="s">
        <v>438</v>
      </c>
      <c r="AU95" s="117" t="s">
        <v>439</v>
      </c>
      <c r="AV95" s="117" t="s">
        <v>440</v>
      </c>
      <c r="AW95" s="117" t="s">
        <v>441</v>
      </c>
      <c r="AX95" s="117" t="s">
        <v>442</v>
      </c>
      <c r="AY95" s="117" t="s">
        <v>443</v>
      </c>
      <c r="AZ95" s="117" t="s">
        <v>444</v>
      </c>
      <c r="BA95" s="117" t="s">
        <v>445</v>
      </c>
      <c r="BB95" s="117" t="s">
        <v>446</v>
      </c>
      <c r="BC95" s="117" t="s">
        <v>447</v>
      </c>
      <c r="BD95" s="117" t="s">
        <v>677</v>
      </c>
      <c r="BE95" s="117" t="s">
        <v>351</v>
      </c>
      <c r="BF95" s="117" t="s">
        <v>791</v>
      </c>
    </row>
    <row r="96" spans="2:58">
      <c r="AO96" s="133" t="s">
        <v>667</v>
      </c>
      <c r="AP96" s="132"/>
      <c r="AQ96" s="132"/>
      <c r="AR96" s="132"/>
      <c r="AS96" s="132"/>
      <c r="AT96" s="132"/>
      <c r="AU96" s="132"/>
      <c r="AV96" s="132"/>
      <c r="AW96" s="132"/>
      <c r="AX96" s="132"/>
      <c r="AY96" s="132"/>
      <c r="AZ96" s="132"/>
      <c r="BA96" s="132"/>
      <c r="BB96" s="132"/>
      <c r="BC96" s="132"/>
      <c r="BD96" s="132"/>
      <c r="BE96" s="132"/>
      <c r="BF96" s="132"/>
    </row>
    <row r="97" spans="2:58">
      <c r="B97" s="1" t="s">
        <v>715</v>
      </c>
      <c r="AO97" s="130" t="s">
        <v>609</v>
      </c>
      <c r="AP97" s="82" cm="1">
        <f t="array" ref="AP97">AP58-MIN(IF(ISNUMBER($AP$58:$BE$58),$AP$58:$BE$58))</f>
        <v>9074.923076923078</v>
      </c>
      <c r="AQ97" s="82" cm="1">
        <f t="array" ref="AQ97">AQ58-MIN(IF(ISNUMBER($AP$58:$BE$58),$AP$58:$BE$58))</f>
        <v>8470.8575901855693</v>
      </c>
      <c r="AR97" s="82" cm="1">
        <f t="array" ref="AR97">AR58-MIN(IF(ISNUMBER($AP$58:$BE$58),$AP$58:$BE$58))</f>
        <v>287</v>
      </c>
      <c r="AS97" s="82" cm="1">
        <f t="array" ref="AS97">AS58-MIN(IF(ISNUMBER($AP$58:$BE$58),$AP$58:$BE$58))</f>
        <v>7898.5806229811133</v>
      </c>
      <c r="AT97" s="82" cm="1">
        <f t="array" ref="AT97">AT58-MIN(IF(ISNUMBER($AP$58:$BE$58),$AP$58:$BE$58))</f>
        <v>0</v>
      </c>
      <c r="AU97" s="82" cm="1">
        <f t="array" ref="AU97">AU58-MIN(IF(ISNUMBER($AP$58:$BE$58),$AP$58:$BE$58))</f>
        <v>9610.5740983290962</v>
      </c>
      <c r="AV97" s="82" cm="1">
        <f t="array" ref="AV97">AV58-MIN(IF(ISNUMBER($AP$58:$BE$58),$AP$58:$BE$58))</f>
        <v>1355</v>
      </c>
      <c r="AW97" s="82" cm="1">
        <f t="array" ref="AW97">AW58-MIN(IF(ISNUMBER($AP$58:$BE$58),$AP$58:$BE$58))</f>
        <v>9610.5740983290962</v>
      </c>
      <c r="AX97" s="82" cm="1">
        <f t="array" ref="AX97">AX58-MIN(IF(ISNUMBER($AP$58:$BE$58),$AP$58:$BE$58))</f>
        <v>1355</v>
      </c>
      <c r="AY97" s="82" cm="1">
        <f t="array" ref="AY97">AY58-MIN(IF(ISNUMBER($AP$58:$BE$58),$AP$58:$BE$58))</f>
        <v>9610.5740983290962</v>
      </c>
      <c r="AZ97" s="82" cm="1">
        <f t="array" ref="AZ97">AZ58-MIN(IF(ISNUMBER($AP$58:$BE$58),$AP$58:$BE$58))</f>
        <v>1355</v>
      </c>
      <c r="BA97" s="82" cm="1">
        <f t="array" ref="BA97">BA58-MIN(IF(ISNUMBER($AP$58:$BE$58),$AP$58:$BE$58))</f>
        <v>9350.3959311134313</v>
      </c>
      <c r="BB97" s="82" cm="1">
        <f t="array" ref="BB97">BB58-MIN(IF(ISNUMBER($AP$58:$BE$58),$AP$58:$BE$58))</f>
        <v>1355</v>
      </c>
      <c r="BC97" s="82" cm="1">
        <f t="array" ref="BC97">BC58-MIN(IF(ISNUMBER($AP$58:$BE$58),$AP$58:$BE$58))</f>
        <v>9172.4561551815277</v>
      </c>
      <c r="BD97" s="82" cm="1">
        <f t="array" ref="BD97">BD58-MIN(IF(ISNUMBER($AP$58:$BE$58),$AP$58:$BE$58))</f>
        <v>1630</v>
      </c>
      <c r="BE97" s="82" cm="1">
        <f t="array" ref="BE97">BE58-MIN(IF(ISNUMBER($AP$58:$BE$58),$AP$58:$BE$58))</f>
        <v>1447</v>
      </c>
      <c r="BF97" s="82" cm="1">
        <f t="array" ref="BF97">BF58-MIN(IF(ISNUMBER($AP$58:$BF$58),$AP$58:$BF$58))</f>
        <v>287</v>
      </c>
    </row>
    <row r="98" spans="2:58">
      <c r="B98" t="s">
        <v>722</v>
      </c>
      <c r="AO98" s="130" t="s">
        <v>610</v>
      </c>
      <c r="AP98" s="82" cm="1">
        <f t="array" ref="AP98">AP59-MIN(IF(ISNUMBER($AP$58:$BE$58),$AP$58:$BE$58))</f>
        <v>9074.923076923078</v>
      </c>
      <c r="AQ98" s="82" t="e" cm="1">
        <f t="array" ref="AQ98">AQ59-MIN(IF(ISNUMBER($AP$58:$BE$58),$AP$58:$BE$58))</f>
        <v>#VALUE!</v>
      </c>
      <c r="AR98" s="82" cm="1">
        <f t="array" ref="AR98">AR59-MIN(IF(ISNUMBER($AP$58:$BE$58),$AP$58:$BE$58))</f>
        <v>287</v>
      </c>
      <c r="AS98" s="82" t="e" cm="1">
        <f t="array" ref="AS98">AS59-MIN(IF(ISNUMBER($AP$58:$BE$58),$AP$58:$BE$58))</f>
        <v>#VALUE!</v>
      </c>
      <c r="AT98" s="82" cm="1">
        <f t="array" ref="AT98">AT59-MIN(IF(ISNUMBER($AP$58:$BE$58),$AP$58:$BE$58))</f>
        <v>0</v>
      </c>
      <c r="AU98" s="82" t="e" cm="1">
        <f t="array" ref="AU98">AU59-MIN(IF(ISNUMBER($AP$58:$BE$58),$AP$58:$BE$58))</f>
        <v>#VALUE!</v>
      </c>
      <c r="AV98" s="82" cm="1">
        <f t="array" ref="AV98">AV59-MIN(IF(ISNUMBER($AP$58:$BE$58),$AP$58:$BE$58))</f>
        <v>1355</v>
      </c>
      <c r="AW98" s="82" t="e" cm="1">
        <f t="array" ref="AW98">AW59-MIN(IF(ISNUMBER($AP$58:$BE$58),$AP$58:$BE$58))</f>
        <v>#VALUE!</v>
      </c>
      <c r="AX98" s="82" cm="1">
        <f t="array" ref="AX98">AX59-MIN(IF(ISNUMBER($AP$58:$BE$58),$AP$58:$BE$58))</f>
        <v>1355</v>
      </c>
      <c r="AY98" s="82" t="e" cm="1">
        <f t="array" ref="AY98">AY59-MIN(IF(ISNUMBER($AP$58:$BE$58),$AP$58:$BE$58))</f>
        <v>#VALUE!</v>
      </c>
      <c r="AZ98" s="82" cm="1">
        <f t="array" ref="AZ98">AZ59-MIN(IF(ISNUMBER($AP$58:$BE$58),$AP$58:$BE$58))</f>
        <v>1355</v>
      </c>
      <c r="BA98" s="82" t="e" cm="1">
        <f t="array" ref="BA98">BA59-MIN(IF(ISNUMBER($AP$58:$BE$58),$AP$58:$BE$58))</f>
        <v>#VALUE!</v>
      </c>
      <c r="BB98" s="82" cm="1">
        <f t="array" ref="BB98">BB59-MIN(IF(ISNUMBER($AP$58:$BE$58),$AP$58:$BE$58))</f>
        <v>1355</v>
      </c>
      <c r="BC98" s="82" cm="1">
        <f t="array" ref="BC98">BC59-MIN(IF(ISNUMBER($AP$58:$BE$58),$AP$58:$BE$58))</f>
        <v>9616.3640363761733</v>
      </c>
      <c r="BD98" s="82" cm="1">
        <f t="array" ref="BD98">BD59-MIN(IF(ISNUMBER($AP$58:$BE$58),$AP$58:$BE$58))</f>
        <v>1630</v>
      </c>
      <c r="BE98" s="82" cm="1">
        <f t="array" ref="BE98">BE59-MIN(IF(ISNUMBER($AP$58:$BE$58),$AP$58:$BE$58))</f>
        <v>1447</v>
      </c>
      <c r="BF98" s="82" cm="1">
        <f t="array" ref="BF98">BF59-MIN(IF(ISNUMBER($AP$58:$BF$58),$AP$58:$BF$58))</f>
        <v>287</v>
      </c>
    </row>
    <row r="99" spans="2:58" s="150" customFormat="1" ht="57.6">
      <c r="C99" s="149" t="str">
        <f>D2</f>
        <v>Fabric Standard</v>
      </c>
      <c r="D99" s="119" t="str">
        <f t="shared" ref="D99:T99" si="42">D3</f>
        <v>Part L 21</v>
      </c>
      <c r="E99" s="119" t="str">
        <f t="shared" si="42"/>
        <v xml:space="preserve">Notional Building C&amp;B </v>
      </c>
      <c r="F99" s="119" t="str">
        <f t="shared" si="42"/>
        <v xml:space="preserve">Notional Building C&amp;B </v>
      </c>
      <c r="G99" s="119" t="str">
        <f t="shared" si="42"/>
        <v>35 kWh/m2.year</v>
      </c>
      <c r="H99" s="119" t="str">
        <f t="shared" si="42"/>
        <v>35 kWh/m2.year</v>
      </c>
      <c r="I99" s="119" t="str">
        <f t="shared" si="42"/>
        <v>35 kWh/m2.year</v>
      </c>
      <c r="J99" s="119" t="str">
        <f t="shared" si="42"/>
        <v>35 kWh/m2.year</v>
      </c>
      <c r="K99" s="119" t="str">
        <f t="shared" si="42"/>
        <v>30 kWh/m2.year</v>
      </c>
      <c r="L99" s="119" t="str">
        <f t="shared" si="42"/>
        <v>30 kWh/m2.year</v>
      </c>
      <c r="M99" s="119" t="str">
        <f t="shared" si="42"/>
        <v>25 kWh/m2.year</v>
      </c>
      <c r="N99" s="119" t="str">
        <f t="shared" si="42"/>
        <v>25 kWh/m2.year</v>
      </c>
      <c r="O99" s="119" t="str">
        <f t="shared" si="42"/>
        <v>20 kWh/m2.year</v>
      </c>
      <c r="P99" s="119" t="str">
        <f t="shared" si="42"/>
        <v>20 kWh/m2.year</v>
      </c>
      <c r="Q99" s="119" t="str">
        <f t="shared" si="42"/>
        <v>15 kWh/m2.year (Passivhaus)</v>
      </c>
      <c r="R99" s="119" t="str">
        <f t="shared" si="42"/>
        <v>15 kWh/m2.year (Passivhaus)</v>
      </c>
      <c r="S99" s="119" t="str">
        <f t="shared" si="42"/>
        <v>FHS</v>
      </c>
      <c r="T99" s="119" t="str">
        <f t="shared" si="42"/>
        <v>Bespoke</v>
      </c>
      <c r="V99" s="151"/>
      <c r="AO99" s="152" t="s">
        <v>611</v>
      </c>
      <c r="AP99" s="82" cm="1">
        <f t="array" ref="AP99">AP60-MIN(IF(ISNUMBER($AP$58:$BE$58),$AP$58:$BE$58))</f>
        <v>9306.3468414304662</v>
      </c>
      <c r="AQ99" s="82" t="e" cm="1">
        <f t="array" ref="AQ99">AQ60-MIN(IF(ISNUMBER($AP$58:$BE$58),$AP$58:$BE$58))</f>
        <v>#VALUE!</v>
      </c>
      <c r="AR99" s="82" cm="1">
        <f t="array" ref="AR99">AR60-MIN(IF(ISNUMBER($AP$58:$BE$58),$AP$58:$BE$58))</f>
        <v>287</v>
      </c>
      <c r="AS99" s="82" t="e" cm="1">
        <f t="array" ref="AS99">AS60-MIN(IF(ISNUMBER($AP$58:$BE$58),$AP$58:$BE$58))</f>
        <v>#VALUE!</v>
      </c>
      <c r="AT99" s="82" cm="1">
        <f t="array" ref="AT99">AT60-MIN(IF(ISNUMBER($AP$58:$BE$58),$AP$58:$BE$58))</f>
        <v>0</v>
      </c>
      <c r="AU99" s="82" t="e" cm="1">
        <f t="array" ref="AU99">AU60-MIN(IF(ISNUMBER($AP$58:$BE$58),$AP$58:$BE$58))</f>
        <v>#VALUE!</v>
      </c>
      <c r="AV99" s="82" cm="1">
        <f t="array" ref="AV99">AV60-MIN(IF(ISNUMBER($AP$58:$BE$58),$AP$58:$BE$58))</f>
        <v>1355</v>
      </c>
      <c r="AW99" s="82" t="e" cm="1">
        <f t="array" ref="AW99">AW60-MIN(IF(ISNUMBER($AP$58:$BE$58),$AP$58:$BE$58))</f>
        <v>#VALUE!</v>
      </c>
      <c r="AX99" s="82" cm="1">
        <f t="array" ref="AX99">AX60-MIN(IF(ISNUMBER($AP$58:$BE$58),$AP$58:$BE$58))</f>
        <v>1355</v>
      </c>
      <c r="AY99" s="82" t="e" cm="1">
        <f t="array" ref="AY99">AY60-MIN(IF(ISNUMBER($AP$58:$BE$58),$AP$58:$BE$58))</f>
        <v>#VALUE!</v>
      </c>
      <c r="AZ99" s="82" cm="1">
        <f t="array" ref="AZ99">AZ60-MIN(IF(ISNUMBER($AP$58:$BE$58),$AP$58:$BE$58))</f>
        <v>1355</v>
      </c>
      <c r="BA99" s="82" t="e" cm="1">
        <f t="array" ref="BA99">BA60-MIN(IF(ISNUMBER($AP$58:$BE$58),$AP$58:$BE$58))</f>
        <v>#VALUE!</v>
      </c>
      <c r="BB99" s="82" cm="1">
        <f t="array" ref="BB99">BB60-MIN(IF(ISNUMBER($AP$58:$BE$58),$AP$58:$BE$58))</f>
        <v>1355</v>
      </c>
      <c r="BC99" s="82" t="e" cm="1">
        <f t="array" ref="BC99">BC60-MIN(IF(ISNUMBER($AP$58:$BE$58),$AP$58:$BE$58))</f>
        <v>#VALUE!</v>
      </c>
      <c r="BD99" s="82" cm="1">
        <f t="array" ref="BD99">BD60-MIN(IF(ISNUMBER($AP$58:$BE$58),$AP$58:$BE$58))</f>
        <v>1630</v>
      </c>
      <c r="BE99" s="82" cm="1">
        <f t="array" ref="BE99">BE60-MIN(IF(ISNUMBER($AP$58:$BE$58),$AP$58:$BE$58))</f>
        <v>1447</v>
      </c>
      <c r="BF99" s="82" cm="1">
        <f t="array" ref="BF99">BF60-MIN(IF(ISNUMBER($AP$58:$BF$58),$AP$58:$BF$58))</f>
        <v>287</v>
      </c>
    </row>
    <row r="100" spans="2:58" s="150" customFormat="1">
      <c r="C100" s="149" t="str">
        <f>C4</f>
        <v>Gas / ASHP</v>
      </c>
      <c r="D100" s="119" t="str">
        <f t="shared" ref="D100:T100" si="43">D4</f>
        <v>Gas</v>
      </c>
      <c r="E100" s="119" t="str">
        <f t="shared" si="43"/>
        <v>Gas</v>
      </c>
      <c r="F100" s="119" t="str">
        <f t="shared" si="43"/>
        <v>ASHP</v>
      </c>
      <c r="G100" s="119" t="str">
        <f t="shared" si="43"/>
        <v>Gas</v>
      </c>
      <c r="H100" s="119" t="str">
        <f t="shared" si="43"/>
        <v>ASHP</v>
      </c>
      <c r="I100" s="119" t="str">
        <f t="shared" si="43"/>
        <v>Gas</v>
      </c>
      <c r="J100" s="119" t="str">
        <f t="shared" si="43"/>
        <v>ASHP</v>
      </c>
      <c r="K100" s="119" t="str">
        <f t="shared" si="43"/>
        <v>Gas</v>
      </c>
      <c r="L100" s="119" t="str">
        <f t="shared" si="43"/>
        <v>ASHP</v>
      </c>
      <c r="M100" s="119" t="str">
        <f t="shared" si="43"/>
        <v>Gas</v>
      </c>
      <c r="N100" s="119" t="str">
        <f t="shared" si="43"/>
        <v>ASHP</v>
      </c>
      <c r="O100" s="119" t="str">
        <f t="shared" si="43"/>
        <v>Gas</v>
      </c>
      <c r="P100" s="119" t="str">
        <f t="shared" si="43"/>
        <v>ASHP</v>
      </c>
      <c r="Q100" s="119" t="str">
        <f t="shared" si="43"/>
        <v>Gas</v>
      </c>
      <c r="R100" s="119" t="str">
        <f t="shared" si="43"/>
        <v>ASHP</v>
      </c>
      <c r="S100" s="119" t="str">
        <f t="shared" si="43"/>
        <v>ASHP</v>
      </c>
      <c r="T100" s="119" t="str">
        <f t="shared" si="43"/>
        <v>ASHP</v>
      </c>
      <c r="V100" s="151"/>
      <c r="AO100" s="152" t="s">
        <v>612</v>
      </c>
      <c r="AP100" s="82" t="e" cm="1">
        <f t="array" ref="AP100">AP61-MIN(IF(ISNUMBER($AP$58:$BE$58),$AP$58:$BE$58))</f>
        <v>#VALUE!</v>
      </c>
      <c r="AQ100" s="82" t="e" cm="1">
        <f t="array" ref="AQ100">AQ61-MIN(IF(ISNUMBER($AP$58:$BE$58),$AP$58:$BE$58))</f>
        <v>#VALUE!</v>
      </c>
      <c r="AR100" s="82" cm="1">
        <f t="array" ref="AR100">AR61-MIN(IF(ISNUMBER($AP$58:$BE$58),$AP$58:$BE$58))</f>
        <v>287</v>
      </c>
      <c r="AS100" s="82" t="e" cm="1">
        <f t="array" ref="AS100">AS61-MIN(IF(ISNUMBER($AP$58:$BE$58),$AP$58:$BE$58))</f>
        <v>#VALUE!</v>
      </c>
      <c r="AT100" s="82" cm="1">
        <f t="array" ref="AT100">AT61-MIN(IF(ISNUMBER($AP$58:$BE$58),$AP$58:$BE$58))</f>
        <v>0</v>
      </c>
      <c r="AU100" s="82" t="e" cm="1">
        <f t="array" ref="AU100">AU61-MIN(IF(ISNUMBER($AP$58:$BE$58),$AP$58:$BE$58))</f>
        <v>#VALUE!</v>
      </c>
      <c r="AV100" s="82" cm="1">
        <f t="array" ref="AV100">AV61-MIN(IF(ISNUMBER($AP$58:$BE$58),$AP$58:$BE$58))</f>
        <v>1355</v>
      </c>
      <c r="AW100" s="82" t="e" cm="1">
        <f t="array" ref="AW100">AW61-MIN(IF(ISNUMBER($AP$58:$BE$58),$AP$58:$BE$58))</f>
        <v>#VALUE!</v>
      </c>
      <c r="AX100" s="82" cm="1">
        <f t="array" ref="AX100">AX61-MIN(IF(ISNUMBER($AP$58:$BE$58),$AP$58:$BE$58))</f>
        <v>1355</v>
      </c>
      <c r="AY100" s="82" t="e" cm="1">
        <f t="array" ref="AY100">AY61-MIN(IF(ISNUMBER($AP$58:$BE$58),$AP$58:$BE$58))</f>
        <v>#VALUE!</v>
      </c>
      <c r="AZ100" s="82" cm="1">
        <f t="array" ref="AZ100">AZ61-MIN(IF(ISNUMBER($AP$58:$BE$58),$AP$58:$BE$58))</f>
        <v>1355</v>
      </c>
      <c r="BA100" s="82" t="e" cm="1">
        <f t="array" ref="BA100">BA61-MIN(IF(ISNUMBER($AP$58:$BE$58),$AP$58:$BE$58))</f>
        <v>#VALUE!</v>
      </c>
      <c r="BB100" s="82" cm="1">
        <f t="array" ref="BB100">BB61-MIN(IF(ISNUMBER($AP$58:$BE$58),$AP$58:$BE$58))</f>
        <v>1355</v>
      </c>
      <c r="BC100" s="82" t="e" cm="1">
        <f t="array" ref="BC100">BC61-MIN(IF(ISNUMBER($AP$58:$BE$58),$AP$58:$BE$58))</f>
        <v>#VALUE!</v>
      </c>
      <c r="BD100" s="82" cm="1">
        <f t="array" ref="BD100">BD61-MIN(IF(ISNUMBER($AP$58:$BE$58),$AP$58:$BE$58))</f>
        <v>1630</v>
      </c>
      <c r="BE100" s="82" cm="1">
        <f t="array" ref="BE100">BE61-MIN(IF(ISNUMBER($AP$58:$BE$58),$AP$58:$BE$58))</f>
        <v>1447</v>
      </c>
      <c r="BF100" s="82" cm="1">
        <f t="array" ref="BF100">BF61-MIN(IF(ISNUMBER($AP$58:$BF$58),$AP$58:$BF$58))</f>
        <v>287</v>
      </c>
    </row>
    <row r="101" spans="2:58" s="150" customFormat="1" ht="28.8">
      <c r="C101" s="149" t="str">
        <f>C5</f>
        <v>Nat Vent / MVHR</v>
      </c>
      <c r="D101" s="119" t="str">
        <f t="shared" ref="D101:T101" si="44">D5</f>
        <v>Natural Ventilation</v>
      </c>
      <c r="E101" s="119" t="str">
        <f t="shared" si="44"/>
        <v>Natural Ventilation</v>
      </c>
      <c r="F101" s="119" t="str">
        <f t="shared" si="44"/>
        <v>Natural Ventilation</v>
      </c>
      <c r="G101" s="119" t="str">
        <f t="shared" si="44"/>
        <v>Natural Ventilation</v>
      </c>
      <c r="H101" s="119" t="str">
        <f t="shared" si="44"/>
        <v>Natural Ventilation</v>
      </c>
      <c r="I101" s="119" t="str">
        <f t="shared" si="44"/>
        <v>MVHR</v>
      </c>
      <c r="J101" s="119" t="str">
        <f t="shared" si="44"/>
        <v>MVHR</v>
      </c>
      <c r="K101" s="119" t="str">
        <f t="shared" si="44"/>
        <v>MVHR</v>
      </c>
      <c r="L101" s="119" t="str">
        <f t="shared" si="44"/>
        <v>MVHR</v>
      </c>
      <c r="M101" s="119" t="str">
        <f t="shared" si="44"/>
        <v>MVHR</v>
      </c>
      <c r="N101" s="119" t="str">
        <f t="shared" si="44"/>
        <v>MVHR</v>
      </c>
      <c r="O101" s="119" t="str">
        <f t="shared" si="44"/>
        <v>MVHR</v>
      </c>
      <c r="P101" s="119" t="str">
        <f t="shared" si="44"/>
        <v>MVHR</v>
      </c>
      <c r="Q101" s="119" t="str">
        <f t="shared" si="44"/>
        <v>MVHR</v>
      </c>
      <c r="R101" s="119" t="str">
        <f t="shared" si="44"/>
        <v>MVHR</v>
      </c>
      <c r="S101" s="119" t="str">
        <f t="shared" si="44"/>
        <v>Natural Ventilation</v>
      </c>
      <c r="T101" s="119" t="str">
        <f t="shared" si="44"/>
        <v>Natural Ventilation</v>
      </c>
      <c r="V101" s="151"/>
      <c r="AO101" s="130" t="s">
        <v>613</v>
      </c>
      <c r="AP101" s="82" t="e" cm="1">
        <f t="array" ref="AP101">AP62-MIN(IF(ISNUMBER($AP$58:$BE$58),$AP$58:$BE$58))</f>
        <v>#VALUE!</v>
      </c>
      <c r="AQ101" s="82" t="e" cm="1">
        <f t="array" ref="AQ101">AQ62-MIN(IF(ISNUMBER($AP$58:$BE$58),$AP$58:$BE$58))</f>
        <v>#VALUE!</v>
      </c>
      <c r="AR101" s="82" cm="1">
        <f t="array" ref="AR101">AR62-MIN(IF(ISNUMBER($AP$58:$BE$58),$AP$58:$BE$58))</f>
        <v>287</v>
      </c>
      <c r="AS101" s="82" t="e" cm="1">
        <f t="array" ref="AS101">AS62-MIN(IF(ISNUMBER($AP$58:$BE$58),$AP$58:$BE$58))</f>
        <v>#VALUE!</v>
      </c>
      <c r="AT101" s="82" cm="1">
        <f t="array" ref="AT101">AT62-MIN(IF(ISNUMBER($AP$58:$BE$58),$AP$58:$BE$58))</f>
        <v>0</v>
      </c>
      <c r="AU101" s="82" t="e" cm="1">
        <f t="array" ref="AU101">AU62-MIN(IF(ISNUMBER($AP$58:$BE$58),$AP$58:$BE$58))</f>
        <v>#VALUE!</v>
      </c>
      <c r="AV101" s="82" cm="1">
        <f t="array" ref="AV101">AV62-MIN(IF(ISNUMBER($AP$58:$BE$58),$AP$58:$BE$58))</f>
        <v>1355</v>
      </c>
      <c r="AW101" s="82" t="e" cm="1">
        <f t="array" ref="AW101">AW62-MIN(IF(ISNUMBER($AP$58:$BE$58),$AP$58:$BE$58))</f>
        <v>#VALUE!</v>
      </c>
      <c r="AX101" s="82" cm="1">
        <f t="array" ref="AX101">AX62-MIN(IF(ISNUMBER($AP$58:$BE$58),$AP$58:$BE$58))</f>
        <v>1355</v>
      </c>
      <c r="AY101" s="82" t="e" cm="1">
        <f t="array" ref="AY101">AY62-MIN(IF(ISNUMBER($AP$58:$BE$58),$AP$58:$BE$58))</f>
        <v>#VALUE!</v>
      </c>
      <c r="AZ101" s="82" cm="1">
        <f t="array" ref="AZ101">AZ62-MIN(IF(ISNUMBER($AP$58:$BE$58),$AP$58:$BE$58))</f>
        <v>1355</v>
      </c>
      <c r="BA101" s="82" t="e" cm="1">
        <f t="array" ref="BA101">BA62-MIN(IF(ISNUMBER($AP$58:$BE$58),$AP$58:$BE$58))</f>
        <v>#VALUE!</v>
      </c>
      <c r="BB101" s="82" cm="1">
        <f t="array" ref="BB101">BB62-MIN(IF(ISNUMBER($AP$58:$BE$58),$AP$58:$BE$58))</f>
        <v>1355</v>
      </c>
      <c r="BC101" s="82" t="e" cm="1">
        <f t="array" ref="BC101">BC62-MIN(IF(ISNUMBER($AP$58:$BE$58),$AP$58:$BE$58))</f>
        <v>#VALUE!</v>
      </c>
      <c r="BD101" s="82" cm="1">
        <f t="array" ref="BD101">BD62-MIN(IF(ISNUMBER($AP$58:$BE$58),$AP$58:$BE$58))</f>
        <v>1630</v>
      </c>
      <c r="BE101" s="82" cm="1">
        <f t="array" ref="BE101">BE62-MIN(IF(ISNUMBER($AP$58:$BE$58),$AP$58:$BE$58))</f>
        <v>1447</v>
      </c>
      <c r="BF101" s="82" cm="1">
        <f t="array" ref="BF101">BF62-MIN(IF(ISNUMBER($AP$58:$BF$58),$AP$58:$BF$58))</f>
        <v>287</v>
      </c>
    </row>
    <row r="102" spans="2:58">
      <c r="B102" s="41" t="s">
        <v>723</v>
      </c>
      <c r="AO102" s="130" t="s">
        <v>614</v>
      </c>
      <c r="AP102" s="82" t="e" cm="1">
        <f t="array" ref="AP102">AP63-MIN(IF(ISNUMBER($AP$58:$BE$58),$AP$58:$BE$58))</f>
        <v>#VALUE!</v>
      </c>
      <c r="AQ102" s="82" t="e" cm="1">
        <f t="array" ref="AQ102">AQ63-MIN(IF(ISNUMBER($AP$58:$BE$58),$AP$58:$BE$58))</f>
        <v>#VALUE!</v>
      </c>
      <c r="AR102" s="82" cm="1">
        <f t="array" ref="AR102">AR63-MIN(IF(ISNUMBER($AP$58:$BE$58),$AP$58:$BE$58))</f>
        <v>287</v>
      </c>
      <c r="AS102" s="82" t="e" cm="1">
        <f t="array" ref="AS102">AS63-MIN(IF(ISNUMBER($AP$58:$BE$58),$AP$58:$BE$58))</f>
        <v>#VALUE!</v>
      </c>
      <c r="AT102" s="82" cm="1">
        <f t="array" ref="AT102">AT63-MIN(IF(ISNUMBER($AP$58:$BE$58),$AP$58:$BE$58))</f>
        <v>0</v>
      </c>
      <c r="AU102" s="82" t="e" cm="1">
        <f t="array" ref="AU102">AU63-MIN(IF(ISNUMBER($AP$58:$BE$58),$AP$58:$BE$58))</f>
        <v>#VALUE!</v>
      </c>
      <c r="AV102" s="82" cm="1">
        <f t="array" ref="AV102">AV63-MIN(IF(ISNUMBER($AP$58:$BE$58),$AP$58:$BE$58))</f>
        <v>1355</v>
      </c>
      <c r="AW102" s="82" t="e" cm="1">
        <f t="array" ref="AW102">AW63-MIN(IF(ISNUMBER($AP$58:$BE$58),$AP$58:$BE$58))</f>
        <v>#VALUE!</v>
      </c>
      <c r="AX102" s="82" cm="1">
        <f t="array" ref="AX102">AX63-MIN(IF(ISNUMBER($AP$58:$BE$58),$AP$58:$BE$58))</f>
        <v>1355</v>
      </c>
      <c r="AY102" s="82" t="e" cm="1">
        <f t="array" ref="AY102">AY63-MIN(IF(ISNUMBER($AP$58:$BE$58),$AP$58:$BE$58))</f>
        <v>#VALUE!</v>
      </c>
      <c r="AZ102" s="82" cm="1">
        <f t="array" ref="AZ102">AZ63-MIN(IF(ISNUMBER($AP$58:$BE$58),$AP$58:$BE$58))</f>
        <v>1355</v>
      </c>
      <c r="BA102" s="82" t="e" cm="1">
        <f t="array" ref="BA102">BA63-MIN(IF(ISNUMBER($AP$58:$BE$58),$AP$58:$BE$58))</f>
        <v>#VALUE!</v>
      </c>
      <c r="BB102" s="82" cm="1">
        <f t="array" ref="BB102">BB63-MIN(IF(ISNUMBER($AP$58:$BE$58),$AP$58:$BE$58))</f>
        <v>1355</v>
      </c>
      <c r="BC102" s="82" t="e" cm="1">
        <f t="array" ref="BC102">BC63-MIN(IF(ISNUMBER($AP$58:$BE$58),$AP$58:$BE$58))</f>
        <v>#VALUE!</v>
      </c>
      <c r="BD102" s="82" cm="1">
        <f t="array" ref="BD102">BD63-MIN(IF(ISNUMBER($AP$58:$BE$58),$AP$58:$BE$58))</f>
        <v>1630</v>
      </c>
      <c r="BE102" s="82" cm="1">
        <f t="array" ref="BE102">BE63-MIN(IF(ISNUMBER($AP$58:$BE$58),$AP$58:$BE$58))</f>
        <v>1447</v>
      </c>
      <c r="BF102" s="82" cm="1">
        <f t="array" ref="BF102">BF63-MIN(IF(ISNUMBER($AP$58:$BF$58),$AP$58:$BF$58))</f>
        <v>287</v>
      </c>
    </row>
    <row r="103" spans="2:58">
      <c r="B103" s="71" t="s">
        <v>621</v>
      </c>
      <c r="D103" s="50">
        <v>1</v>
      </c>
      <c r="E103" s="50">
        <v>1</v>
      </c>
      <c r="F103" s="50">
        <v>1</v>
      </c>
      <c r="G103" s="50">
        <v>1</v>
      </c>
      <c r="H103" s="50">
        <v>1</v>
      </c>
      <c r="I103" s="50">
        <v>1</v>
      </c>
      <c r="J103" s="50">
        <v>1</v>
      </c>
      <c r="K103" s="50">
        <v>1</v>
      </c>
      <c r="L103" s="50">
        <v>1</v>
      </c>
      <c r="M103" s="50">
        <v>1</v>
      </c>
      <c r="N103" s="50">
        <v>1</v>
      </c>
      <c r="O103" s="50">
        <v>1</v>
      </c>
      <c r="P103" s="50">
        <v>1</v>
      </c>
      <c r="Q103" s="50">
        <v>1</v>
      </c>
      <c r="R103" s="50">
        <v>1</v>
      </c>
      <c r="S103" s="50">
        <v>1</v>
      </c>
      <c r="T103" s="50">
        <v>0</v>
      </c>
      <c r="AO103" s="130" t="s">
        <v>615</v>
      </c>
      <c r="AP103" s="82" t="e" cm="1">
        <f t="array" ref="AP103">AP64-MIN(IF(ISNUMBER($AP$58:$BE$58),$AP$58:$BE$58))</f>
        <v>#VALUE!</v>
      </c>
      <c r="AQ103" s="82" t="e" cm="1">
        <f t="array" ref="AQ103">AQ64-MIN(IF(ISNUMBER($AP$58:$BE$58),$AP$58:$BE$58))</f>
        <v>#VALUE!</v>
      </c>
      <c r="AR103" s="82" cm="1">
        <f t="array" ref="AR103">AR64-MIN(IF(ISNUMBER($AP$58:$BE$58),$AP$58:$BE$58))</f>
        <v>3026.1377961642065</v>
      </c>
      <c r="AS103" s="82" t="e" cm="1">
        <f t="array" ref="AS103">AS64-MIN(IF(ISNUMBER($AP$58:$BE$58),$AP$58:$BE$58))</f>
        <v>#VALUE!</v>
      </c>
      <c r="AT103" s="82" cm="1">
        <f t="array" ref="AT103">AT64-MIN(IF(ISNUMBER($AP$58:$BE$58),$AP$58:$BE$58))</f>
        <v>2713.0552048622812</v>
      </c>
      <c r="AU103" s="82" t="e" cm="1">
        <f t="array" ref="AU103">AU64-MIN(IF(ISNUMBER($AP$58:$BE$58),$AP$58:$BE$58))</f>
        <v>#VALUE!</v>
      </c>
      <c r="AV103" s="82" t="e" cm="1">
        <f t="array" ref="AV103">AV64-MIN(IF(ISNUMBER($AP$58:$BE$58),$AP$58:$BE$58))</f>
        <v>#VALUE!</v>
      </c>
      <c r="AW103" s="82" t="e" cm="1">
        <f t="array" ref="AW103">AW64-MIN(IF(ISNUMBER($AP$58:$BE$58),$AP$58:$BE$58))</f>
        <v>#VALUE!</v>
      </c>
      <c r="AX103" s="82" t="e" cm="1">
        <f t="array" ref="AX103">AX64-MIN(IF(ISNUMBER($AP$58:$BE$58),$AP$58:$BE$58))</f>
        <v>#VALUE!</v>
      </c>
      <c r="AY103" s="82" t="e" cm="1">
        <f t="array" ref="AY103">AY64-MIN(IF(ISNUMBER($AP$58:$BE$58),$AP$58:$BE$58))</f>
        <v>#VALUE!</v>
      </c>
      <c r="AZ103" s="82" t="e" cm="1">
        <f t="array" ref="AZ103">AZ64-MIN(IF(ISNUMBER($AP$58:$BE$58),$AP$58:$BE$58))</f>
        <v>#VALUE!</v>
      </c>
      <c r="BA103" s="82" t="e" cm="1">
        <f t="array" ref="BA103">BA64-MIN(IF(ISNUMBER($AP$58:$BE$58),$AP$58:$BE$58))</f>
        <v>#VALUE!</v>
      </c>
      <c r="BB103" s="82" t="e" cm="1">
        <f t="array" ref="BB103">BB64-MIN(IF(ISNUMBER($AP$58:$BE$58),$AP$58:$BE$58))</f>
        <v>#VALUE!</v>
      </c>
      <c r="BC103" s="82" t="e" cm="1">
        <f t="array" ref="BC103">BC64-MIN(IF(ISNUMBER($AP$58:$BE$58),$AP$58:$BE$58))</f>
        <v>#VALUE!</v>
      </c>
      <c r="BD103" s="82" t="e" cm="1">
        <f t="array" ref="BD103">BD64-MIN(IF(ISNUMBER($AP$58:$BE$58),$AP$58:$BE$58))</f>
        <v>#VALUE!</v>
      </c>
      <c r="BE103" s="82" cm="1">
        <f t="array" ref="BE103">BE64-MIN(IF(ISNUMBER($AP$58:$BE$58),$AP$58:$BE$58))</f>
        <v>4125.3331973553868</v>
      </c>
      <c r="BF103" s="82" cm="1">
        <f t="array" ref="BF103">BF64-MIN(IF(ISNUMBER($AP$58:$BF$58),$AP$58:$BF$58))</f>
        <v>3166.4366523651152</v>
      </c>
    </row>
    <row r="104" spans="2:58">
      <c r="B104" s="71" t="s">
        <v>600</v>
      </c>
      <c r="D104" s="50">
        <v>0</v>
      </c>
      <c r="E104" s="50">
        <v>0</v>
      </c>
      <c r="F104" s="50">
        <v>0</v>
      </c>
      <c r="G104" s="50">
        <v>1</v>
      </c>
      <c r="H104" s="50">
        <v>1</v>
      </c>
      <c r="I104" s="50">
        <v>1</v>
      </c>
      <c r="J104" s="50">
        <v>1</v>
      </c>
      <c r="K104" s="50">
        <v>1</v>
      </c>
      <c r="L104" s="50">
        <v>1</v>
      </c>
      <c r="M104" s="50">
        <v>1</v>
      </c>
      <c r="N104" s="50">
        <v>1</v>
      </c>
      <c r="O104" s="50">
        <v>1</v>
      </c>
      <c r="P104" s="50">
        <v>1</v>
      </c>
      <c r="Q104" s="50">
        <v>1</v>
      </c>
      <c r="R104" s="50">
        <v>1</v>
      </c>
      <c r="S104" s="50">
        <f>IF($L$86&lt;$G$86,1,0)</f>
        <v>1</v>
      </c>
      <c r="T104" s="50">
        <v>0</v>
      </c>
      <c r="AO104" s="133" t="s">
        <v>668</v>
      </c>
      <c r="AP104" s="82"/>
      <c r="AQ104" s="82"/>
      <c r="AR104" s="82"/>
      <c r="AS104" s="82"/>
      <c r="AT104" s="82"/>
      <c r="AU104" s="82"/>
      <c r="AV104" s="82"/>
      <c r="AW104" s="82"/>
      <c r="AX104" s="82"/>
      <c r="AY104" s="82"/>
      <c r="AZ104" s="82"/>
      <c r="BA104" s="82"/>
      <c r="BB104" s="82"/>
      <c r="BC104" s="82"/>
      <c r="BD104" s="82"/>
      <c r="BE104" s="82"/>
      <c r="BF104" s="82"/>
    </row>
    <row r="105" spans="2:58">
      <c r="B105" s="71" t="s">
        <v>601</v>
      </c>
      <c r="D105" s="50">
        <v>0</v>
      </c>
      <c r="E105" s="50">
        <v>0</v>
      </c>
      <c r="F105" s="50">
        <v>0</v>
      </c>
      <c r="G105" s="50">
        <v>0</v>
      </c>
      <c r="H105" s="50">
        <v>0</v>
      </c>
      <c r="I105" s="50">
        <v>0</v>
      </c>
      <c r="J105" s="50">
        <v>0</v>
      </c>
      <c r="K105" s="50">
        <v>1</v>
      </c>
      <c r="L105" s="50">
        <v>1</v>
      </c>
      <c r="M105" s="50">
        <v>1</v>
      </c>
      <c r="N105" s="50">
        <v>1</v>
      </c>
      <c r="O105" s="50">
        <v>1</v>
      </c>
      <c r="P105" s="50">
        <v>1</v>
      </c>
      <c r="Q105" s="50">
        <v>1</v>
      </c>
      <c r="R105" s="50">
        <v>1</v>
      </c>
      <c r="S105" s="50">
        <f>IF($L$86&lt;$H$86,1,0)</f>
        <v>1</v>
      </c>
      <c r="T105" s="50">
        <v>0</v>
      </c>
      <c r="AO105" s="133"/>
      <c r="AP105" s="82"/>
      <c r="AQ105" s="82"/>
      <c r="AR105" s="82"/>
      <c r="AS105" s="82"/>
      <c r="AT105" s="82"/>
      <c r="AU105" s="82"/>
      <c r="AV105" s="82"/>
      <c r="AW105" s="82"/>
      <c r="AX105" s="82"/>
      <c r="AY105" s="82"/>
      <c r="AZ105" s="82"/>
      <c r="BA105" s="82"/>
      <c r="BB105" s="82"/>
      <c r="BC105" s="82"/>
      <c r="BD105" s="82"/>
      <c r="BE105" s="82"/>
      <c r="BF105" s="82"/>
    </row>
    <row r="106" spans="2:58">
      <c r="B106" s="71" t="s">
        <v>602</v>
      </c>
      <c r="D106" s="50">
        <v>0</v>
      </c>
      <c r="E106" s="50">
        <v>0</v>
      </c>
      <c r="F106" s="50">
        <v>0</v>
      </c>
      <c r="G106" s="50">
        <v>0</v>
      </c>
      <c r="H106" s="50">
        <v>0</v>
      </c>
      <c r="I106" s="50">
        <v>0</v>
      </c>
      <c r="J106" s="50">
        <v>0</v>
      </c>
      <c r="K106" s="50">
        <v>0</v>
      </c>
      <c r="L106" s="50">
        <v>0</v>
      </c>
      <c r="M106" s="50">
        <v>1</v>
      </c>
      <c r="N106" s="50">
        <v>1</v>
      </c>
      <c r="O106" s="50">
        <v>1</v>
      </c>
      <c r="P106" s="50">
        <v>1</v>
      </c>
      <c r="Q106" s="50">
        <v>1</v>
      </c>
      <c r="R106" s="50">
        <v>1</v>
      </c>
      <c r="S106" s="50">
        <f>IF($L$86&lt;$I$86,1,0)</f>
        <v>1</v>
      </c>
      <c r="T106" s="50">
        <v>0</v>
      </c>
      <c r="AO106" s="130" t="s">
        <v>609</v>
      </c>
      <c r="AP106" s="82" t="e" cm="1">
        <f t="array" ref="AP106">AP66-MIN(IF(ISNUMBER($AP$66:$BE$66),$AP$66:$BE$66))</f>
        <v>#VALUE!</v>
      </c>
      <c r="AQ106" s="82" t="e" cm="1">
        <f t="array" ref="AQ106">AQ66-MIN(IF(ISNUMBER($AP$66:$BE$66),$AP$66:$BE$66))</f>
        <v>#VALUE!</v>
      </c>
      <c r="AR106" s="82" cm="1">
        <f t="array" ref="AR106">AR66-MIN(IF(ISNUMBER($AP$66:$BE$66),$AP$66:$BE$66))</f>
        <v>313.08259130192528</v>
      </c>
      <c r="AS106" s="82" t="e" cm="1">
        <f t="array" ref="AS106">AS66-MIN(IF(ISNUMBER($AP$66:$BE$66),$AP$66:$BE$66))</f>
        <v>#VALUE!</v>
      </c>
      <c r="AT106" s="82" cm="1">
        <f t="array" ref="AT106">AT66-MIN(IF(ISNUMBER($AP$66:$BE$66),$AP$66:$BE$66))</f>
        <v>0</v>
      </c>
      <c r="AU106" s="82" t="e" cm="1">
        <f t="array" ref="AU106">AU66-MIN(IF(ISNUMBER($AP$66:$BE$66),$AP$66:$BE$66))</f>
        <v>#VALUE!</v>
      </c>
      <c r="AV106" s="82" cm="1">
        <f t="array" ref="AV106">AV66-MIN(IF(ISNUMBER($AP$66:$BE$66),$AP$66:$BE$66))</f>
        <v>1711.9934753479829</v>
      </c>
      <c r="AW106" s="82" t="e" cm="1">
        <f t="array" ref="AW106">AW66-MIN(IF(ISNUMBER($AP$66:$BE$66),$AP$66:$BE$66))</f>
        <v>#VALUE!</v>
      </c>
      <c r="AX106" s="82" cm="1">
        <f t="array" ref="AX106">AX66-MIN(IF(ISNUMBER($AP$66:$BE$66),$AP$66:$BE$66))</f>
        <v>1711.9934753479829</v>
      </c>
      <c r="AY106" s="82" t="e" cm="1">
        <f t="array" ref="AY106">AY66-MIN(IF(ISNUMBER($AP$66:$BE$66),$AP$66:$BE$66))</f>
        <v>#VALUE!</v>
      </c>
      <c r="AZ106" s="82" cm="1">
        <f t="array" ref="AZ106">AZ66-MIN(IF(ISNUMBER($AP$66:$BE$66),$AP$66:$BE$66))</f>
        <v>1711.9934753479829</v>
      </c>
      <c r="BA106" s="82" t="e" cm="1">
        <f t="array" ref="BA106">BA66-MIN(IF(ISNUMBER($AP$66:$BE$66),$AP$66:$BE$66))</f>
        <v>#VALUE!</v>
      </c>
      <c r="BB106" s="82" cm="1">
        <f t="array" ref="BB106">BB66-MIN(IF(ISNUMBER($AP$66:$BE$66),$AP$66:$BE$66))</f>
        <v>1667.6392925559776</v>
      </c>
      <c r="BC106" s="82" t="e" cm="1">
        <f t="array" ref="BC106">BC66-MIN(IF(ISNUMBER($AP$66:$BE$66),$AP$66:$BE$66))</f>
        <v>#VALUE!</v>
      </c>
      <c r="BD106" s="82" cm="1">
        <f t="array" ref="BD106">BD66-MIN(IF(ISNUMBER($AP$66:$BE$66),$AP$66:$BE$66))</f>
        <v>1865.423845039968</v>
      </c>
      <c r="BE106" s="82" cm="1">
        <f t="array" ref="BE106">BE66-MIN(IF(ISNUMBER($AP$66:$BE$66),$AP$66:$BE$66))</f>
        <v>1412.2779924931056</v>
      </c>
      <c r="BF106" s="82" cm="1">
        <f t="array" ref="BF106">BF66-MIN(IF(ISNUMBER($AP$66:$BF$66),$AP$66:$BF$66))</f>
        <v>453.38144750283391</v>
      </c>
    </row>
    <row r="107" spans="2:58">
      <c r="B107" s="71" t="s">
        <v>603</v>
      </c>
      <c r="D107" s="50">
        <v>0</v>
      </c>
      <c r="E107" s="50">
        <v>0</v>
      </c>
      <c r="F107" s="50">
        <v>0</v>
      </c>
      <c r="G107" s="50">
        <v>0</v>
      </c>
      <c r="H107" s="50">
        <v>0</v>
      </c>
      <c r="I107" s="50">
        <v>0</v>
      </c>
      <c r="J107" s="50">
        <v>0</v>
      </c>
      <c r="K107" s="50">
        <v>0</v>
      </c>
      <c r="L107" s="50">
        <v>0</v>
      </c>
      <c r="M107" s="50">
        <v>0</v>
      </c>
      <c r="N107" s="50">
        <v>0</v>
      </c>
      <c r="O107" s="50">
        <v>1</v>
      </c>
      <c r="P107" s="50">
        <v>1</v>
      </c>
      <c r="Q107" s="50">
        <v>1</v>
      </c>
      <c r="R107" s="50">
        <v>1</v>
      </c>
      <c r="S107" s="50">
        <f>IF($L$86&lt;$J$86,1,0)</f>
        <v>1</v>
      </c>
      <c r="T107" s="50">
        <v>0</v>
      </c>
      <c r="AO107" s="130" t="s">
        <v>610</v>
      </c>
      <c r="AP107" s="82" t="e" cm="1">
        <f t="array" ref="AP107">AP67-MIN(IF(ISNUMBER($AP$66:$BE$66),$AP$66:$BE$66))</f>
        <v>#VALUE!</v>
      </c>
      <c r="AQ107" s="82" t="e" cm="1">
        <f t="array" ref="AQ107">AQ67-MIN(IF(ISNUMBER($AP$66:$BE$66),$AP$66:$BE$66))</f>
        <v>#VALUE!</v>
      </c>
      <c r="AR107" s="82" cm="1">
        <f t="array" ref="AR107">AR67-MIN(IF(ISNUMBER($AP$66:$BE$66),$AP$66:$BE$66))</f>
        <v>469.31252249929821</v>
      </c>
      <c r="AS107" s="82" t="e" cm="1">
        <f t="array" ref="AS107">AS67-MIN(IF(ISNUMBER($AP$66:$BE$66),$AP$66:$BE$66))</f>
        <v>#VALUE!</v>
      </c>
      <c r="AT107" s="82" cm="1">
        <f t="array" ref="AT107">AT67-MIN(IF(ISNUMBER($AP$66:$BE$66),$AP$66:$BE$66))</f>
        <v>156.2299311973693</v>
      </c>
      <c r="AU107" s="82" t="e" cm="1">
        <f t="array" ref="AU107">AU67-MIN(IF(ISNUMBER($AP$66:$BE$66),$AP$66:$BE$66))</f>
        <v>#VALUE!</v>
      </c>
      <c r="AV107" s="82" cm="1">
        <f t="array" ref="AV107">AV67-MIN(IF(ISNUMBER($AP$66:$BE$66),$AP$66:$BE$66))</f>
        <v>1868.2234065453522</v>
      </c>
      <c r="AW107" s="82" t="e" cm="1">
        <f t="array" ref="AW107">AW67-MIN(IF(ISNUMBER($AP$66:$BE$66),$AP$66:$BE$66))</f>
        <v>#VALUE!</v>
      </c>
      <c r="AX107" s="82" cm="1">
        <f t="array" ref="AX107">AX67-MIN(IF(ISNUMBER($AP$66:$BE$66),$AP$66:$BE$66))</f>
        <v>1868.2234065453522</v>
      </c>
      <c r="AY107" s="82" t="e" cm="1">
        <f t="array" ref="AY107">AY67-MIN(IF(ISNUMBER($AP$66:$BE$66),$AP$66:$BE$66))</f>
        <v>#VALUE!</v>
      </c>
      <c r="AZ107" s="82" cm="1">
        <f t="array" ref="AZ107">AZ67-MIN(IF(ISNUMBER($AP$66:$BE$66),$AP$66:$BE$66))</f>
        <v>1868.2234065453522</v>
      </c>
      <c r="BA107" s="82" t="e" cm="1">
        <f t="array" ref="BA107">BA67-MIN(IF(ISNUMBER($AP$66:$BE$66),$AP$66:$BE$66))</f>
        <v>#VALUE!</v>
      </c>
      <c r="BB107" s="82" cm="1">
        <f t="array" ref="BB107">BB67-MIN(IF(ISNUMBER($AP$66:$BE$66),$AP$66:$BE$66))</f>
        <v>1823.8692237533505</v>
      </c>
      <c r="BC107" s="82" t="e" cm="1">
        <f t="array" ref="BC107">BC67-MIN(IF(ISNUMBER($AP$66:$BE$66),$AP$66:$BE$66))</f>
        <v>#VALUE!</v>
      </c>
      <c r="BD107" s="82" cm="1">
        <f t="array" ref="BD107">BD67-MIN(IF(ISNUMBER($AP$66:$BE$66),$AP$66:$BE$66))</f>
        <v>2021.6537762373409</v>
      </c>
      <c r="BE107" s="82" cm="1">
        <f t="array" ref="BE107">BE67-MIN(IF(ISNUMBER($AP$66:$BE$66),$AP$66:$BE$66))</f>
        <v>1568.5079236904785</v>
      </c>
      <c r="BF107" s="82" cm="1">
        <f t="array" ref="BF107">BF67-MIN(IF(ISNUMBER($AP$66:$BF$66),$AP$66:$BF$66))</f>
        <v>609.6113787002032</v>
      </c>
    </row>
    <row r="108" spans="2:58">
      <c r="B108" s="71" t="s">
        <v>604</v>
      </c>
      <c r="D108" s="50">
        <v>0</v>
      </c>
      <c r="E108" s="50">
        <v>0</v>
      </c>
      <c r="F108" s="50">
        <v>0</v>
      </c>
      <c r="G108" s="50">
        <v>0</v>
      </c>
      <c r="H108" s="50">
        <v>0</v>
      </c>
      <c r="I108" s="50">
        <v>0</v>
      </c>
      <c r="J108" s="50">
        <v>0</v>
      </c>
      <c r="K108" s="50">
        <v>0</v>
      </c>
      <c r="L108" s="50">
        <v>0</v>
      </c>
      <c r="M108" s="50">
        <v>0</v>
      </c>
      <c r="N108" s="50">
        <v>0</v>
      </c>
      <c r="O108" s="50">
        <v>0</v>
      </c>
      <c r="P108" s="50">
        <v>0</v>
      </c>
      <c r="Q108" s="50">
        <v>1</v>
      </c>
      <c r="R108" s="50">
        <v>1</v>
      </c>
      <c r="S108" s="50">
        <f>IF($L$86&lt;$K$86,1,0)</f>
        <v>0</v>
      </c>
      <c r="T108" s="50">
        <v>0</v>
      </c>
      <c r="AO108" s="130" t="s">
        <v>611</v>
      </c>
      <c r="AP108" s="82" t="e" cm="1">
        <f t="array" ref="AP108">AP68-MIN(IF(ISNUMBER($AP$66:$BE$66),$AP$66:$BE$66))</f>
        <v>#VALUE!</v>
      </c>
      <c r="AQ108" s="82" t="e" cm="1">
        <f t="array" ref="AQ108">AQ68-MIN(IF(ISNUMBER($AP$66:$BE$66),$AP$66:$BE$66))</f>
        <v>#VALUE!</v>
      </c>
      <c r="AR108" s="82" cm="1">
        <f t="array" ref="AR108">AR68-MIN(IF(ISNUMBER($AP$66:$BE$66),$AP$66:$BE$66))</f>
        <v>625.54245369666751</v>
      </c>
      <c r="AS108" s="82" t="e" cm="1">
        <f t="array" ref="AS108">AS68-MIN(IF(ISNUMBER($AP$66:$BE$66),$AP$66:$BE$66))</f>
        <v>#VALUE!</v>
      </c>
      <c r="AT108" s="82" cm="1">
        <f t="array" ref="AT108">AT68-MIN(IF(ISNUMBER($AP$66:$BE$66),$AP$66:$BE$66))</f>
        <v>312.45986239474223</v>
      </c>
      <c r="AU108" s="82" t="e" cm="1">
        <f t="array" ref="AU108">AU68-MIN(IF(ISNUMBER($AP$66:$BE$66),$AP$66:$BE$66))</f>
        <v>#VALUE!</v>
      </c>
      <c r="AV108" s="82" cm="1">
        <f t="array" ref="AV108">AV68-MIN(IF(ISNUMBER($AP$66:$BE$66),$AP$66:$BE$66))</f>
        <v>2024.4533377427215</v>
      </c>
      <c r="AW108" s="82" t="e" cm="1">
        <f t="array" ref="AW108">AW68-MIN(IF(ISNUMBER($AP$66:$BE$66),$AP$66:$BE$66))</f>
        <v>#VALUE!</v>
      </c>
      <c r="AX108" s="82" cm="1">
        <f t="array" ref="AX108">AX68-MIN(IF(ISNUMBER($AP$66:$BE$66),$AP$66:$BE$66))</f>
        <v>2024.4533377427215</v>
      </c>
      <c r="AY108" s="82" t="e" cm="1">
        <f t="array" ref="AY108">AY68-MIN(IF(ISNUMBER($AP$66:$BE$66),$AP$66:$BE$66))</f>
        <v>#VALUE!</v>
      </c>
      <c r="AZ108" s="82" cm="1">
        <f t="array" ref="AZ108">AZ68-MIN(IF(ISNUMBER($AP$66:$BE$66),$AP$66:$BE$66))</f>
        <v>2024.4533377427215</v>
      </c>
      <c r="BA108" s="82" t="e" cm="1">
        <f t="array" ref="BA108">BA68-MIN(IF(ISNUMBER($AP$66:$BE$66),$AP$66:$BE$66))</f>
        <v>#VALUE!</v>
      </c>
      <c r="BB108" s="82" cm="1">
        <f t="array" ref="BB108">BB68-MIN(IF(ISNUMBER($AP$66:$BE$66),$AP$66:$BE$66))</f>
        <v>1980.0991549507198</v>
      </c>
      <c r="BC108" s="82" t="e" cm="1">
        <f t="array" ref="BC108">BC68-MIN(IF(ISNUMBER($AP$66:$BE$66),$AP$66:$BE$66))</f>
        <v>#VALUE!</v>
      </c>
      <c r="BD108" s="82" cm="1">
        <f t="array" ref="BD108">BD68-MIN(IF(ISNUMBER($AP$66:$BE$66),$AP$66:$BE$66))</f>
        <v>2177.8837074347102</v>
      </c>
      <c r="BE108" s="82" cm="1">
        <f t="array" ref="BE108">BE68-MIN(IF(ISNUMBER($AP$66:$BE$66),$AP$66:$BE$66))</f>
        <v>1724.7378548878478</v>
      </c>
      <c r="BF108" s="82" cm="1">
        <f t="array" ref="BF108">BF68-MIN(IF(ISNUMBER($AP$66:$BF$66),$AP$66:$BF$66))</f>
        <v>765.8413098975725</v>
      </c>
    </row>
    <row r="109" spans="2:58">
      <c r="B109" s="71" t="s">
        <v>791</v>
      </c>
      <c r="D109" s="50">
        <v>0</v>
      </c>
      <c r="E109" s="50">
        <v>0</v>
      </c>
      <c r="F109" s="50">
        <v>0</v>
      </c>
      <c r="G109" s="50">
        <v>0</v>
      </c>
      <c r="H109" s="50">
        <v>0</v>
      </c>
      <c r="I109" s="50">
        <v>0</v>
      </c>
      <c r="J109" s="50">
        <v>0</v>
      </c>
      <c r="K109" s="50">
        <v>0</v>
      </c>
      <c r="L109" s="50">
        <v>0</v>
      </c>
      <c r="M109" s="50">
        <v>0</v>
      </c>
      <c r="N109" s="50">
        <v>0</v>
      </c>
      <c r="O109" s="50">
        <v>0</v>
      </c>
      <c r="P109" s="50">
        <v>0</v>
      </c>
      <c r="Q109" s="50">
        <v>0</v>
      </c>
      <c r="R109" s="50">
        <v>0</v>
      </c>
      <c r="S109" s="50">
        <v>0</v>
      </c>
      <c r="T109" s="50">
        <v>1</v>
      </c>
      <c r="AO109" s="130" t="s">
        <v>612</v>
      </c>
      <c r="AP109" s="82" t="e" cm="1">
        <f t="array" ref="AP109">AP69-MIN(IF(ISNUMBER($AP$66:$BE$66),$AP$66:$BE$66))</f>
        <v>#VALUE!</v>
      </c>
      <c r="AQ109" s="82" t="e" cm="1">
        <f t="array" ref="AQ109">AQ69-MIN(IF(ISNUMBER($AP$66:$BE$66),$AP$66:$BE$66))</f>
        <v>#VALUE!</v>
      </c>
      <c r="AR109" s="82" cm="1">
        <f t="array" ref="AR109">AR69-MIN(IF(ISNUMBER($AP$66:$BE$66),$AP$66:$BE$66))</f>
        <v>781.7723848940368</v>
      </c>
      <c r="AS109" s="82" t="e" cm="1">
        <f t="array" ref="AS109">AS69-MIN(IF(ISNUMBER($AP$66:$BE$66),$AP$66:$BE$66))</f>
        <v>#VALUE!</v>
      </c>
      <c r="AT109" s="82" cm="1">
        <f t="array" ref="AT109">AT69-MIN(IF(ISNUMBER($AP$66:$BE$66),$AP$66:$BE$66))</f>
        <v>468.68979359211153</v>
      </c>
      <c r="AU109" s="82" t="e" cm="1">
        <f t="array" ref="AU109">AU69-MIN(IF(ISNUMBER($AP$66:$BE$66),$AP$66:$BE$66))</f>
        <v>#VALUE!</v>
      </c>
      <c r="AV109" s="82" cm="1">
        <f t="array" ref="AV109">AV69-MIN(IF(ISNUMBER($AP$66:$BE$66),$AP$66:$BE$66))</f>
        <v>2180.6832689400944</v>
      </c>
      <c r="AW109" s="82" t="e" cm="1">
        <f t="array" ref="AW109">AW69-MIN(IF(ISNUMBER($AP$66:$BE$66),$AP$66:$BE$66))</f>
        <v>#VALUE!</v>
      </c>
      <c r="AX109" s="82" cm="1">
        <f t="array" ref="AX109">AX69-MIN(IF(ISNUMBER($AP$66:$BE$66),$AP$66:$BE$66))</f>
        <v>2180.6832689400944</v>
      </c>
      <c r="AY109" s="82" t="e" cm="1">
        <f t="array" ref="AY109">AY69-MIN(IF(ISNUMBER($AP$66:$BE$66),$AP$66:$BE$66))</f>
        <v>#VALUE!</v>
      </c>
      <c r="AZ109" s="82" cm="1">
        <f t="array" ref="AZ109">AZ69-MIN(IF(ISNUMBER($AP$66:$BE$66),$AP$66:$BE$66))</f>
        <v>2180.6832689400944</v>
      </c>
      <c r="BA109" s="82" t="e" cm="1">
        <f t="array" ref="BA109">BA69-MIN(IF(ISNUMBER($AP$66:$BE$66),$AP$66:$BE$66))</f>
        <v>#VALUE!</v>
      </c>
      <c r="BB109" s="82" cm="1">
        <f t="array" ref="BB109">BB69-MIN(IF(ISNUMBER($AP$66:$BE$66),$AP$66:$BE$66))</f>
        <v>2136.3290861480891</v>
      </c>
      <c r="BC109" s="82" t="e" cm="1">
        <f t="array" ref="BC109">BC69-MIN(IF(ISNUMBER($AP$66:$BE$66),$AP$66:$BE$66))</f>
        <v>#VALUE!</v>
      </c>
      <c r="BD109" s="82" cm="1">
        <f t="array" ref="BD109">BD69-MIN(IF(ISNUMBER($AP$66:$BE$66),$AP$66:$BE$66))</f>
        <v>2334.1136386320795</v>
      </c>
      <c r="BE109" s="82" cm="1">
        <f t="array" ref="BE109">BE69-MIN(IF(ISNUMBER($AP$66:$BE$66),$AP$66:$BE$66))</f>
        <v>1880.9677860852171</v>
      </c>
      <c r="BF109" s="82" cm="1">
        <f t="array" ref="BF109">BF69-MIN(IF(ISNUMBER($AP$66:$BF$66),$AP$66:$BF$66))</f>
        <v>922.07124109494544</v>
      </c>
    </row>
    <row r="110" spans="2:58">
      <c r="B110" s="41" t="s">
        <v>724</v>
      </c>
      <c r="AO110" s="130" t="s">
        <v>613</v>
      </c>
      <c r="AP110" s="82" t="e" cm="1">
        <f t="array" ref="AP110">AP70-MIN(IF(ISNUMBER($AP$66:$BE$66),$AP$66:$BE$66))</f>
        <v>#VALUE!</v>
      </c>
      <c r="AQ110" s="82" t="e" cm="1">
        <f t="array" ref="AQ110">AQ70-MIN(IF(ISNUMBER($AP$66:$BE$66),$AP$66:$BE$66))</f>
        <v>#VALUE!</v>
      </c>
      <c r="AR110" s="82" cm="1">
        <f t="array" ref="AR110">AR70-MIN(IF(ISNUMBER($AP$66:$BE$66),$AP$66:$BE$66))</f>
        <v>938.0023160914061</v>
      </c>
      <c r="AS110" s="82" t="e" cm="1">
        <f t="array" ref="AS110">AS70-MIN(IF(ISNUMBER($AP$66:$BE$66),$AP$66:$BE$66))</f>
        <v>#VALUE!</v>
      </c>
      <c r="AT110" s="82" cm="1">
        <f t="array" ref="AT110">AT70-MIN(IF(ISNUMBER($AP$66:$BE$66),$AP$66:$BE$66))</f>
        <v>624.91972478948082</v>
      </c>
      <c r="AU110" s="82" t="e" cm="1">
        <f t="array" ref="AU110">AU70-MIN(IF(ISNUMBER($AP$66:$BE$66),$AP$66:$BE$66))</f>
        <v>#VALUE!</v>
      </c>
      <c r="AV110" s="82" cm="1">
        <f t="array" ref="AV110">AV70-MIN(IF(ISNUMBER($AP$66:$BE$66),$AP$66:$BE$66))</f>
        <v>2336.9132001374637</v>
      </c>
      <c r="AW110" s="82" t="e" cm="1">
        <f t="array" ref="AW110">AW70-MIN(IF(ISNUMBER($AP$66:$BE$66),$AP$66:$BE$66))</f>
        <v>#VALUE!</v>
      </c>
      <c r="AX110" s="82" cm="1">
        <f t="array" ref="AX110">AX70-MIN(IF(ISNUMBER($AP$66:$BE$66),$AP$66:$BE$66))</f>
        <v>2336.9132001374637</v>
      </c>
      <c r="AY110" s="82" t="e" cm="1">
        <f t="array" ref="AY110">AY70-MIN(IF(ISNUMBER($AP$66:$BE$66),$AP$66:$BE$66))</f>
        <v>#VALUE!</v>
      </c>
      <c r="AZ110" s="82" cm="1">
        <f t="array" ref="AZ110">AZ70-MIN(IF(ISNUMBER($AP$66:$BE$66),$AP$66:$BE$66))</f>
        <v>2336.9132001374637</v>
      </c>
      <c r="BA110" s="82" t="e" cm="1">
        <f t="array" ref="BA110">BA70-MIN(IF(ISNUMBER($AP$66:$BE$66),$AP$66:$BE$66))</f>
        <v>#VALUE!</v>
      </c>
      <c r="BB110" s="82" cm="1">
        <f t="array" ref="BB110">BB70-MIN(IF(ISNUMBER($AP$66:$BE$66),$AP$66:$BE$66))</f>
        <v>2292.5590173454621</v>
      </c>
      <c r="BC110" s="82" t="e" cm="1">
        <f t="array" ref="BC110">BC70-MIN(IF(ISNUMBER($AP$66:$BE$66),$AP$66:$BE$66))</f>
        <v>#VALUE!</v>
      </c>
      <c r="BD110" s="82" cm="1">
        <f t="array" ref="BD110">BD70-MIN(IF(ISNUMBER($AP$66:$BE$66),$AP$66:$BE$66))</f>
        <v>2490.3435698294488</v>
      </c>
      <c r="BE110" s="82" cm="1">
        <f t="array" ref="BE110">BE70-MIN(IF(ISNUMBER($AP$66:$BE$66),$AP$66:$BE$66))</f>
        <v>2037.19771728259</v>
      </c>
      <c r="BF110" s="82" cm="1">
        <f t="array" ref="BF110">BF70-MIN(IF(ISNUMBER($AP$66:$BF$66),$AP$66:$BF$66))</f>
        <v>1078.3011722923147</v>
      </c>
    </row>
    <row r="111" spans="2:58">
      <c r="B111" s="71" t="s">
        <v>606</v>
      </c>
      <c r="D111" s="50">
        <v>1</v>
      </c>
      <c r="E111" s="50">
        <v>1</v>
      </c>
      <c r="F111" s="50">
        <v>1</v>
      </c>
      <c r="G111" s="50">
        <v>1</v>
      </c>
      <c r="H111" s="50">
        <v>1</v>
      </c>
      <c r="I111" s="50">
        <v>1</v>
      </c>
      <c r="J111" s="50">
        <v>1</v>
      </c>
      <c r="K111" s="50">
        <v>1</v>
      </c>
      <c r="L111" s="50">
        <v>1</v>
      </c>
      <c r="M111" s="50">
        <v>1</v>
      </c>
      <c r="N111" s="50">
        <v>1</v>
      </c>
      <c r="O111" s="50">
        <v>1</v>
      </c>
      <c r="P111" s="50">
        <v>1</v>
      </c>
      <c r="Q111" s="50">
        <v>1</v>
      </c>
      <c r="R111" s="50">
        <v>1</v>
      </c>
      <c r="S111" s="50">
        <v>1</v>
      </c>
      <c r="T111" s="50">
        <v>1</v>
      </c>
      <c r="AO111" s="130" t="s">
        <v>614</v>
      </c>
      <c r="AP111" s="82" t="e" cm="1">
        <f t="array" ref="AP111">AP71-MIN(IF(ISNUMBER($AP$66:$BE$66),$AP$66:$BE$66))</f>
        <v>#VALUE!</v>
      </c>
      <c r="AQ111" s="82" t="e" cm="1">
        <f t="array" ref="AQ111">AQ71-MIN(IF(ISNUMBER($AP$66:$BE$66),$AP$66:$BE$66))</f>
        <v>#VALUE!</v>
      </c>
      <c r="AR111" s="82" cm="1">
        <f t="array" ref="AR111">AR71-MIN(IF(ISNUMBER($AP$66:$BE$66),$AP$66:$BE$66))</f>
        <v>1094.232247288779</v>
      </c>
      <c r="AS111" s="82" t="e" cm="1">
        <f t="array" ref="AS111">AS71-MIN(IF(ISNUMBER($AP$66:$BE$66),$AP$66:$BE$66))</f>
        <v>#VALUE!</v>
      </c>
      <c r="AT111" s="82" cm="1">
        <f t="array" ref="AT111">AT71-MIN(IF(ISNUMBER($AP$66:$BE$66),$AP$66:$BE$66))</f>
        <v>781.14965598685376</v>
      </c>
      <c r="AU111" s="82" t="e" cm="1">
        <f t="array" ref="AU111">AU71-MIN(IF(ISNUMBER($AP$66:$BE$66),$AP$66:$BE$66))</f>
        <v>#VALUE!</v>
      </c>
      <c r="AV111" s="82" cm="1">
        <f t="array" ref="AV111">AV71-MIN(IF(ISNUMBER($AP$66:$BE$66),$AP$66:$BE$66))</f>
        <v>2493.143131334833</v>
      </c>
      <c r="AW111" s="82" t="e" cm="1">
        <f t="array" ref="AW111">AW71-MIN(IF(ISNUMBER($AP$66:$BE$66),$AP$66:$BE$66))</f>
        <v>#VALUE!</v>
      </c>
      <c r="AX111" s="82" cm="1">
        <f t="array" ref="AX111">AX71-MIN(IF(ISNUMBER($AP$66:$BE$66),$AP$66:$BE$66))</f>
        <v>2493.143131334833</v>
      </c>
      <c r="AY111" s="82" t="e" cm="1">
        <f t="array" ref="AY111">AY71-MIN(IF(ISNUMBER($AP$66:$BE$66),$AP$66:$BE$66))</f>
        <v>#VALUE!</v>
      </c>
      <c r="AZ111" s="82" cm="1">
        <f t="array" ref="AZ111">AZ71-MIN(IF(ISNUMBER($AP$66:$BE$66),$AP$66:$BE$66))</f>
        <v>2493.143131334833</v>
      </c>
      <c r="BA111" s="82" t="e" cm="1">
        <f t="array" ref="BA111">BA71-MIN(IF(ISNUMBER($AP$66:$BE$66),$AP$66:$BE$66))</f>
        <v>#VALUE!</v>
      </c>
      <c r="BB111" s="82" cm="1">
        <f t="array" ref="BB111">BB71-MIN(IF(ISNUMBER($AP$66:$BE$66),$AP$66:$BE$66))</f>
        <v>2448.7889485428313</v>
      </c>
      <c r="BC111" s="82" t="e" cm="1">
        <f t="array" ref="BC111">BC71-MIN(IF(ISNUMBER($AP$66:$BE$66),$AP$66:$BE$66))</f>
        <v>#VALUE!</v>
      </c>
      <c r="BD111" s="82" cm="1">
        <f t="array" ref="BD111">BD71-MIN(IF(ISNUMBER($AP$66:$BE$66),$AP$66:$BE$66))</f>
        <v>2646.5735010268218</v>
      </c>
      <c r="BE111" s="82" cm="1">
        <f t="array" ref="BE111">BE71-MIN(IF(ISNUMBER($AP$66:$BE$66),$AP$66:$BE$66))</f>
        <v>2193.4276484799593</v>
      </c>
      <c r="BF111" s="82" cm="1">
        <f t="array" ref="BF111">BF71-MIN(IF(ISNUMBER($AP$66:$BF$66),$AP$66:$BF$66))</f>
        <v>1234.531103489684</v>
      </c>
    </row>
    <row r="112" spans="2:58">
      <c r="B112" s="71" t="s">
        <v>607</v>
      </c>
      <c r="D112" s="50">
        <f>IF(D100="Gas",0,1)</f>
        <v>0</v>
      </c>
      <c r="E112" s="50">
        <f t="shared" ref="E112:T112" si="45">IF(E100="Gas",0,1)</f>
        <v>0</v>
      </c>
      <c r="F112" s="50">
        <f t="shared" si="45"/>
        <v>1</v>
      </c>
      <c r="G112" s="50">
        <f t="shared" si="45"/>
        <v>0</v>
      </c>
      <c r="H112" s="50">
        <f t="shared" si="45"/>
        <v>1</v>
      </c>
      <c r="I112" s="50">
        <f t="shared" si="45"/>
        <v>0</v>
      </c>
      <c r="J112" s="50">
        <f t="shared" si="45"/>
        <v>1</v>
      </c>
      <c r="K112" s="50">
        <f t="shared" si="45"/>
        <v>0</v>
      </c>
      <c r="L112" s="50">
        <f t="shared" si="45"/>
        <v>1</v>
      </c>
      <c r="M112" s="50">
        <f t="shared" si="45"/>
        <v>0</v>
      </c>
      <c r="N112" s="50">
        <f t="shared" si="45"/>
        <v>1</v>
      </c>
      <c r="O112" s="50">
        <f t="shared" si="45"/>
        <v>0</v>
      </c>
      <c r="P112" s="50">
        <f t="shared" si="45"/>
        <v>1</v>
      </c>
      <c r="Q112" s="50">
        <f t="shared" si="45"/>
        <v>0</v>
      </c>
      <c r="R112" s="50">
        <f t="shared" si="45"/>
        <v>1</v>
      </c>
      <c r="S112" s="50">
        <f t="shared" si="45"/>
        <v>1</v>
      </c>
      <c r="T112" s="50">
        <f t="shared" si="45"/>
        <v>1</v>
      </c>
      <c r="AO112" s="130" t="s">
        <v>615</v>
      </c>
      <c r="AP112" s="82" t="e" cm="1">
        <f t="array" ref="AP112">AP72-MIN(IF(ISNUMBER($AP$66:$BE$66),$AP$66:$BE$66))</f>
        <v>#VALUE!</v>
      </c>
      <c r="AQ112" s="82" t="e" cm="1">
        <f t="array" ref="AQ112">AQ72-MIN(IF(ISNUMBER($AP$66:$BE$66),$AP$66:$BE$66))</f>
        <v>#VALUE!</v>
      </c>
      <c r="AR112" s="82" cm="1">
        <f t="array" ref="AR112">AR72-MIN(IF(ISNUMBER($AP$66:$BE$66),$AP$66:$BE$66))</f>
        <v>1875.3819032756292</v>
      </c>
      <c r="AS112" s="82" t="e" cm="1">
        <f t="array" ref="AS112">AS72-MIN(IF(ISNUMBER($AP$66:$BE$66),$AP$66:$BE$66))</f>
        <v>#VALUE!</v>
      </c>
      <c r="AT112" s="82" cm="1">
        <f t="array" ref="AT112">AT72-MIN(IF(ISNUMBER($AP$66:$BE$66),$AP$66:$BE$66))</f>
        <v>1562.2993119737039</v>
      </c>
      <c r="AU112" s="82" t="e" cm="1">
        <f t="array" ref="AU112">AU72-MIN(IF(ISNUMBER($AP$66:$BE$66),$AP$66:$BE$66))</f>
        <v>#VALUE!</v>
      </c>
      <c r="AV112" s="82" t="e" cm="1">
        <f t="array" ref="AV112">AV72-MIN(IF(ISNUMBER($AP$66:$BE$66),$AP$66:$BE$66))</f>
        <v>#VALUE!</v>
      </c>
      <c r="AW112" s="82" t="e" cm="1">
        <f t="array" ref="AW112">AW72-MIN(IF(ISNUMBER($AP$66:$BE$66),$AP$66:$BE$66))</f>
        <v>#VALUE!</v>
      </c>
      <c r="AX112" s="82" t="e" cm="1">
        <f t="array" ref="AX112">AX72-MIN(IF(ISNUMBER($AP$66:$BE$66),$AP$66:$BE$66))</f>
        <v>#VALUE!</v>
      </c>
      <c r="AY112" s="82" t="e" cm="1">
        <f t="array" ref="AY112">AY72-MIN(IF(ISNUMBER($AP$66:$BE$66),$AP$66:$BE$66))</f>
        <v>#VALUE!</v>
      </c>
      <c r="AZ112" s="82" t="e" cm="1">
        <f t="array" ref="AZ112">AZ72-MIN(IF(ISNUMBER($AP$66:$BE$66),$AP$66:$BE$66))</f>
        <v>#VALUE!</v>
      </c>
      <c r="BA112" s="82" t="e" cm="1">
        <f t="array" ref="BA112">BA72-MIN(IF(ISNUMBER($AP$66:$BE$66),$AP$66:$BE$66))</f>
        <v>#VALUE!</v>
      </c>
      <c r="BB112" s="82" t="e" cm="1">
        <f t="array" ref="BB112">BB72-MIN(IF(ISNUMBER($AP$66:$BE$66),$AP$66:$BE$66))</f>
        <v>#VALUE!</v>
      </c>
      <c r="BC112" s="82" t="e" cm="1">
        <f t="array" ref="BC112">BC72-MIN(IF(ISNUMBER($AP$66:$BE$66),$AP$66:$BE$66))</f>
        <v>#VALUE!</v>
      </c>
      <c r="BD112" s="82" t="e" cm="1">
        <f t="array" ref="BD112">BD72-MIN(IF(ISNUMBER($AP$66:$BE$66),$AP$66:$BE$66))</f>
        <v>#VALUE!</v>
      </c>
      <c r="BE112" s="82" cm="1">
        <f t="array" ref="BE112">BE72-MIN(IF(ISNUMBER($AP$66:$BE$66),$AP$66:$BE$66))</f>
        <v>2974.5773044668094</v>
      </c>
      <c r="BF112" s="82" cm="1">
        <f t="array" ref="BF112">BF72-MIN(IF(ISNUMBER($AP$66:$BF$66),$AP$66:$BF$66))</f>
        <v>2015.6807594765378</v>
      </c>
    </row>
    <row r="113" spans="2:20">
      <c r="B113" s="41" t="s">
        <v>725</v>
      </c>
    </row>
    <row r="114" spans="2:20">
      <c r="B114" s="76" t="s">
        <v>618</v>
      </c>
      <c r="C114" t="str">
        <f>INPUT!C19</f>
        <v>No specific fabric standard</v>
      </c>
      <c r="D114" s="50">
        <f>VLOOKUP($C$114,$B$103:$T$109,COLUMN(C114),FALSE)</f>
        <v>1</v>
      </c>
      <c r="E114" s="50">
        <f t="shared" ref="E114:T114" si="46">VLOOKUP($C$114,$B$103:$T$109,COLUMN(D114),FALSE)</f>
        <v>1</v>
      </c>
      <c r="F114" s="50">
        <f t="shared" si="46"/>
        <v>1</v>
      </c>
      <c r="G114" s="50">
        <f t="shared" si="46"/>
        <v>1</v>
      </c>
      <c r="H114" s="50">
        <f t="shared" si="46"/>
        <v>1</v>
      </c>
      <c r="I114" s="50">
        <f t="shared" si="46"/>
        <v>1</v>
      </c>
      <c r="J114" s="50">
        <f t="shared" si="46"/>
        <v>1</v>
      </c>
      <c r="K114" s="50">
        <f t="shared" si="46"/>
        <v>1</v>
      </c>
      <c r="L114" s="50">
        <f t="shared" si="46"/>
        <v>1</v>
      </c>
      <c r="M114" s="50">
        <f t="shared" si="46"/>
        <v>1</v>
      </c>
      <c r="N114" s="50">
        <f t="shared" si="46"/>
        <v>1</v>
      </c>
      <c r="O114" s="50">
        <f t="shared" si="46"/>
        <v>1</v>
      </c>
      <c r="P114" s="50">
        <f t="shared" si="46"/>
        <v>1</v>
      </c>
      <c r="Q114" s="50">
        <f t="shared" si="46"/>
        <v>1</v>
      </c>
      <c r="R114" s="50">
        <f t="shared" si="46"/>
        <v>1</v>
      </c>
      <c r="S114" s="50">
        <f t="shared" si="46"/>
        <v>1</v>
      </c>
      <c r="T114" s="50">
        <f t="shared" si="46"/>
        <v>0</v>
      </c>
    </row>
    <row r="115" spans="2:20">
      <c r="B115" s="76" t="s">
        <v>619</v>
      </c>
      <c r="C115" t="str">
        <f>INPUT!C20</f>
        <v>Gas Possible</v>
      </c>
      <c r="D115" s="50">
        <f>VLOOKUP($C$115,$B$111:$T$112,COLUMN(C115),FALSE)</f>
        <v>1</v>
      </c>
      <c r="E115" s="50">
        <f t="shared" ref="E115:T115" si="47">VLOOKUP($C$115,$B$111:$T$112,COLUMN(D115),FALSE)</f>
        <v>1</v>
      </c>
      <c r="F115" s="50">
        <f t="shared" si="47"/>
        <v>1</v>
      </c>
      <c r="G115" s="50">
        <f t="shared" si="47"/>
        <v>1</v>
      </c>
      <c r="H115" s="50">
        <f t="shared" si="47"/>
        <v>1</v>
      </c>
      <c r="I115" s="50">
        <f t="shared" si="47"/>
        <v>1</v>
      </c>
      <c r="J115" s="50">
        <f t="shared" si="47"/>
        <v>1</v>
      </c>
      <c r="K115" s="50">
        <f t="shared" si="47"/>
        <v>1</v>
      </c>
      <c r="L115" s="50">
        <f t="shared" si="47"/>
        <v>1</v>
      </c>
      <c r="M115" s="50">
        <f t="shared" si="47"/>
        <v>1</v>
      </c>
      <c r="N115" s="50">
        <f t="shared" si="47"/>
        <v>1</v>
      </c>
      <c r="O115" s="50">
        <f t="shared" si="47"/>
        <v>1</v>
      </c>
      <c r="P115" s="50">
        <f t="shared" si="47"/>
        <v>1</v>
      </c>
      <c r="Q115" s="50">
        <f t="shared" si="47"/>
        <v>1</v>
      </c>
      <c r="R115" s="50">
        <f t="shared" si="47"/>
        <v>1</v>
      </c>
      <c r="S115" s="50">
        <f t="shared" si="47"/>
        <v>1</v>
      </c>
      <c r="T115" s="50">
        <f t="shared" si="47"/>
        <v>1</v>
      </c>
    </row>
    <row r="116" spans="2:20">
      <c r="B116" s="76" t="s">
        <v>726</v>
      </c>
      <c r="D116" s="50">
        <f>IF(AND(D114=1,D115=1),1,0)</f>
        <v>1</v>
      </c>
      <c r="E116" s="50">
        <f t="shared" ref="E116:T116" si="48">IF(AND(E114=1,E115=1),1,0)</f>
        <v>1</v>
      </c>
      <c r="F116" s="50">
        <f t="shared" si="48"/>
        <v>1</v>
      </c>
      <c r="G116" s="50">
        <f t="shared" si="48"/>
        <v>1</v>
      </c>
      <c r="H116" s="50">
        <f t="shared" si="48"/>
        <v>1</v>
      </c>
      <c r="I116" s="50">
        <f t="shared" si="48"/>
        <v>1</v>
      </c>
      <c r="J116" s="50">
        <f t="shared" si="48"/>
        <v>1</v>
      </c>
      <c r="K116" s="50">
        <f t="shared" si="48"/>
        <v>1</v>
      </c>
      <c r="L116" s="50">
        <f t="shared" si="48"/>
        <v>1</v>
      </c>
      <c r="M116" s="50">
        <f t="shared" si="48"/>
        <v>1</v>
      </c>
      <c r="N116" s="50">
        <f t="shared" si="48"/>
        <v>1</v>
      </c>
      <c r="O116" s="50">
        <f t="shared" si="48"/>
        <v>1</v>
      </c>
      <c r="P116" s="50">
        <f t="shared" si="48"/>
        <v>1</v>
      </c>
      <c r="Q116" s="50">
        <f t="shared" si="48"/>
        <v>1</v>
      </c>
      <c r="R116" s="50">
        <f t="shared" si="48"/>
        <v>1</v>
      </c>
      <c r="S116" s="50">
        <f t="shared" si="48"/>
        <v>1</v>
      </c>
      <c r="T116" s="50">
        <f t="shared" si="48"/>
        <v>0</v>
      </c>
    </row>
    <row r="117" spans="2:20">
      <c r="B117" s="41" t="s">
        <v>727</v>
      </c>
    </row>
    <row r="118" spans="2:20">
      <c r="B118" s="71" t="s">
        <v>593</v>
      </c>
      <c r="C118" t="str">
        <f>INPUT!C18</f>
        <v>FHS</v>
      </c>
    </row>
    <row r="119" spans="2:20">
      <c r="B119" s="76" t="s">
        <v>620</v>
      </c>
      <c r="C119" t="str">
        <f>INPUT!C21</f>
        <v>Reduce Part L regulated: 30%</v>
      </c>
    </row>
    <row r="120" spans="2:20">
      <c r="B120" s="76" t="s">
        <v>728</v>
      </c>
      <c r="C120" s="11" t="s">
        <v>324</v>
      </c>
      <c r="D120" s="153" t="str">
        <f>IF($C$118="Part L 2021",VLOOKUP($C$119,$C$40:$T$46,COLUMN(D120)-2),VLOOKUP($C$119,$C$47:$T$53,COLUMN(D120)-2))</f>
        <v>Not Possible</v>
      </c>
      <c r="E120" s="153" t="str">
        <f t="shared" ref="E120:T120" si="49">IF($C$118="Part L 2021",VLOOKUP($C$119,$C$40:$T$46,COLUMN(E120)-2),VLOOKUP($C$119,$C$47:$T$53,COLUMN(E120)-2))</f>
        <v>Not Possible</v>
      </c>
      <c r="F120" s="153">
        <f t="shared" si="49"/>
        <v>781.7723848940368</v>
      </c>
      <c r="G120" s="153" t="str">
        <f t="shared" si="49"/>
        <v>Not Possible</v>
      </c>
      <c r="H120" s="153">
        <f t="shared" si="49"/>
        <v>468.68979359211153</v>
      </c>
      <c r="I120" s="153" t="str">
        <f t="shared" si="49"/>
        <v>Not Possible</v>
      </c>
      <c r="J120" s="153">
        <f t="shared" si="49"/>
        <v>2180.6832689400944</v>
      </c>
      <c r="K120" s="153" t="str">
        <f t="shared" si="49"/>
        <v>Not Possible</v>
      </c>
      <c r="L120" s="153">
        <f t="shared" si="49"/>
        <v>2180.6832689400944</v>
      </c>
      <c r="M120" s="153" t="str">
        <f t="shared" si="49"/>
        <v>Not Possible</v>
      </c>
      <c r="N120" s="153">
        <f t="shared" si="49"/>
        <v>2180.6832689400944</v>
      </c>
      <c r="O120" s="153" t="str">
        <f t="shared" si="49"/>
        <v>Not Possible</v>
      </c>
      <c r="P120" s="153">
        <f t="shared" si="49"/>
        <v>2136.3290861480891</v>
      </c>
      <c r="Q120" s="153" t="str">
        <f t="shared" si="49"/>
        <v>Not Possible</v>
      </c>
      <c r="R120" s="153">
        <f t="shared" si="49"/>
        <v>2334.1136386320795</v>
      </c>
      <c r="S120" s="153">
        <f t="shared" si="49"/>
        <v>1880.9677860852171</v>
      </c>
      <c r="T120" s="153">
        <f t="shared" si="49"/>
        <v>922.07124109494544</v>
      </c>
    </row>
    <row r="121" spans="2:20">
      <c r="B121" s="76" t="s">
        <v>729</v>
      </c>
      <c r="D121" s="153" t="str">
        <f>IF(D116=1,D120,"Not Possible")</f>
        <v>Not Possible</v>
      </c>
      <c r="E121" s="153" t="str">
        <f t="shared" ref="E121:T121" si="50">IF(E116=1,E120,"Not Possible")</f>
        <v>Not Possible</v>
      </c>
      <c r="F121" s="153">
        <f t="shared" si="50"/>
        <v>781.7723848940368</v>
      </c>
      <c r="G121" s="153" t="str">
        <f t="shared" si="50"/>
        <v>Not Possible</v>
      </c>
      <c r="H121" s="153">
        <f t="shared" si="50"/>
        <v>468.68979359211153</v>
      </c>
      <c r="I121" s="153" t="str">
        <f t="shared" si="50"/>
        <v>Not Possible</v>
      </c>
      <c r="J121" s="153">
        <f t="shared" si="50"/>
        <v>2180.6832689400944</v>
      </c>
      <c r="K121" s="153" t="str">
        <f t="shared" si="50"/>
        <v>Not Possible</v>
      </c>
      <c r="L121" s="153">
        <f t="shared" si="50"/>
        <v>2180.6832689400944</v>
      </c>
      <c r="M121" s="153" t="str">
        <f t="shared" si="50"/>
        <v>Not Possible</v>
      </c>
      <c r="N121" s="153">
        <f t="shared" si="50"/>
        <v>2180.6832689400944</v>
      </c>
      <c r="O121" s="153" t="str">
        <f t="shared" si="50"/>
        <v>Not Possible</v>
      </c>
      <c r="P121" s="153">
        <f t="shared" si="50"/>
        <v>2136.3290861480891</v>
      </c>
      <c r="Q121" s="153" t="str">
        <f t="shared" si="50"/>
        <v>Not Possible</v>
      </c>
      <c r="R121" s="153">
        <f t="shared" si="50"/>
        <v>2334.1136386320795</v>
      </c>
      <c r="S121" s="153">
        <f t="shared" si="50"/>
        <v>1880.9677860852171</v>
      </c>
      <c r="T121" s="153" t="str">
        <f t="shared" si="50"/>
        <v>Not Possible</v>
      </c>
    </row>
    <row r="122" spans="2:20">
      <c r="B122" s="76" t="s">
        <v>730</v>
      </c>
      <c r="C122" s="154">
        <f>MIN(D121:T121)</f>
        <v>468.68979359211153</v>
      </c>
    </row>
    <row r="123" spans="2:20">
      <c r="B123" s="76" t="s">
        <v>734</v>
      </c>
      <c r="C123" s="155">
        <f>MATCH(C122,D121:T121,0)+3</f>
        <v>8</v>
      </c>
    </row>
    <row r="124" spans="2:20">
      <c r="B124" s="76" t="s">
        <v>739</v>
      </c>
      <c r="C124" s="155">
        <f>IF(C118="Part L 2021",MATCH(C119,B58:B64,0)+57,MATCH(C119,B66:B72,0)+65)</f>
        <v>69</v>
      </c>
    </row>
    <row r="126" spans="2:20">
      <c r="B126" s="135" t="s">
        <v>733</v>
      </c>
    </row>
    <row r="127" spans="2:20">
      <c r="B127" s="158" t="s">
        <v>770</v>
      </c>
    </row>
    <row r="128" spans="2:20">
      <c r="B128" t="s">
        <v>618</v>
      </c>
      <c r="C128" s="162" t="str" cm="1">
        <f t="array" aca="1" ref="C128" ca="1">INDIRECT(ADDRESS(3,$C$123))</f>
        <v>35 kWh/m2.year</v>
      </c>
    </row>
    <row r="129" spans="2:60">
      <c r="B129" t="s">
        <v>344</v>
      </c>
      <c r="C129" s="162" t="str" cm="1">
        <f t="array" aca="1" ref="C129" ca="1">INDIRECT(ADDRESS(4,$C$123))</f>
        <v>ASHP</v>
      </c>
    </row>
    <row r="130" spans="2:60" s="50" customFormat="1">
      <c r="B130" t="s">
        <v>139</v>
      </c>
      <c r="C130" s="162" t="str" cm="1">
        <f t="array" aca="1" ref="C130" ca="1">INDIRECT(ADDRESS(5,$C$123))</f>
        <v>Natural Ventilation</v>
      </c>
      <c r="T130"/>
      <c r="U130"/>
      <c r="V130" s="11"/>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row>
    <row r="131" spans="2:60" s="50" customFormat="1" ht="43.2">
      <c r="B131"/>
      <c r="C131" s="162" t="s">
        <v>743</v>
      </c>
      <c r="D131" s="50" t="s">
        <v>744</v>
      </c>
      <c r="E131" s="50" t="s">
        <v>745</v>
      </c>
      <c r="T131"/>
      <c r="U131"/>
      <c r="V131" s="1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row>
    <row r="132" spans="2:60" s="50" customFormat="1">
      <c r="B132" t="s">
        <v>736</v>
      </c>
      <c r="C132" s="6" cm="1">
        <f t="array" aca="1" ref="C132" ca="1">INDIRECT(ADDRESS(33,$C$123))</f>
        <v>0</v>
      </c>
      <c r="D132" s="143">
        <f ca="1">C132*'C&amp;B'!$E$13</f>
        <v>0</v>
      </c>
      <c r="E132" s="143">
        <f ca="1">D132*Embodied!$C$25/1000</f>
        <v>0</v>
      </c>
      <c r="T132"/>
      <c r="U132"/>
      <c r="V132" s="11"/>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row>
    <row r="133" spans="2:60" s="50" customFormat="1">
      <c r="B133" t="s">
        <v>735</v>
      </c>
      <c r="C133" s="6" cm="1">
        <f t="array" aca="1" ref="C133" ca="1">INDIRECT(ADDRESS(34,$C$123))</f>
        <v>28.87779166544442</v>
      </c>
      <c r="D133" s="143">
        <f ca="1">C133*'C&amp;B'!$E$13</f>
        <v>1443.889583272221</v>
      </c>
      <c r="E133" s="143">
        <f ca="1">D133*Embodied!$C$25/1000</f>
        <v>144.3889583272221</v>
      </c>
      <c r="G133" s="143"/>
      <c r="T133"/>
      <c r="U133"/>
      <c r="V133" s="11"/>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row>
    <row r="134" spans="2:60" s="50" customFormat="1">
      <c r="B134" t="s">
        <v>738</v>
      </c>
      <c r="C134" s="6" cm="1">
        <f t="array" aca="1" ref="C134" ca="1">INDIRECT(ADDRESS($C$124,$C$123))</f>
        <v>0.86574281080114757</v>
      </c>
      <c r="D134" s="143">
        <f ca="1">C134*'C&amp;B'!$E$13</f>
        <v>43.287140540057379</v>
      </c>
      <c r="E134" s="143">
        <f ca="1">D134*Embodied!$C$25/1000</f>
        <v>4.3287140540057383</v>
      </c>
      <c r="T134"/>
      <c r="U134"/>
      <c r="V134" s="11"/>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row>
    <row r="135" spans="2:60" s="50" customFormat="1">
      <c r="B135" t="s">
        <v>737</v>
      </c>
      <c r="C135" s="6">
        <f ca="1">C134*SAP!C143/'C&amp;B'!E13</f>
        <v>15.697385885233011</v>
      </c>
      <c r="D135" s="143">
        <f ca="1">C135*'C&amp;B'!$E$13</f>
        <v>784.86929426165057</v>
      </c>
      <c r="E135" s="143">
        <f ca="1">D135*Embodied!$C$25/1000</f>
        <v>78.486929426165048</v>
      </c>
      <c r="T135"/>
      <c r="U135"/>
      <c r="V135" s="11"/>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row>
    <row r="136" spans="2:60" s="50" customFormat="1">
      <c r="B136" t="s">
        <v>740</v>
      </c>
      <c r="C136" s="156">
        <f>D136/'C&amp;B'!E13</f>
        <v>9.3737958718422298</v>
      </c>
      <c r="D136" s="154">
        <f>C122</f>
        <v>468.68979359211153</v>
      </c>
      <c r="E136" s="153">
        <f>D136*Embodied!$C$25</f>
        <v>46868.979359211153</v>
      </c>
      <c r="T136"/>
      <c r="U136"/>
      <c r="V136" s="11"/>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row>
    <row r="138" spans="2:60" s="50" customFormat="1">
      <c r="B138" s="1" t="s">
        <v>774</v>
      </c>
      <c r="C138" s="162"/>
      <c r="T138"/>
      <c r="U138"/>
      <c r="V138" s="11"/>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row>
    <row r="139" spans="2:60" s="50" customFormat="1" ht="43.2">
      <c r="B139"/>
      <c r="C139" s="162" t="s">
        <v>743</v>
      </c>
      <c r="D139" s="50" t="s">
        <v>744</v>
      </c>
      <c r="E139" s="50" t="s">
        <v>745</v>
      </c>
      <c r="T139"/>
      <c r="U139"/>
      <c r="V139" s="11"/>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row>
    <row r="140" spans="2:60" s="50" customFormat="1">
      <c r="B140" t="s">
        <v>775</v>
      </c>
      <c r="C140" s="6" cm="1">
        <f t="array" aca="1" ref="C140" ca="1">INDIRECT(ADDRESS(29,$C$123))</f>
        <v>6.4999350588235325</v>
      </c>
      <c r="D140" s="143">
        <f ca="1">C140*'C&amp;B'!$E$13</f>
        <v>324.99675294117662</v>
      </c>
      <c r="E140" s="143">
        <f ca="1">D140*Embodied!$C$25/1000</f>
        <v>32.499675294117665</v>
      </c>
      <c r="T140"/>
      <c r="U140"/>
      <c r="V140" s="11"/>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row>
    <row r="141" spans="2:60" s="50" customFormat="1">
      <c r="B141" t="s">
        <v>776</v>
      </c>
      <c r="C141" s="6" cm="1">
        <f t="array" aca="1" ref="C141" ca="1">INDIRECT(ADDRESS(30,$C$123))</f>
        <v>15.295652173913044</v>
      </c>
      <c r="D141" s="143">
        <f ca="1">C141*'C&amp;B'!$E$13</f>
        <v>764.78260869565224</v>
      </c>
      <c r="E141" s="143">
        <f ca="1">D141*Embodied!$C$25/1000</f>
        <v>76.478260869565233</v>
      </c>
      <c r="T141"/>
      <c r="U141"/>
      <c r="V141" s="1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row>
    <row r="142" spans="2:60" s="50" customFormat="1">
      <c r="B142" t="s">
        <v>777</v>
      </c>
      <c r="C142" s="6">
        <f ca="1">SUM(C140:C141)</f>
        <v>21.795587232736576</v>
      </c>
      <c r="D142" s="143">
        <f ca="1">SUM(D140:D141)</f>
        <v>1089.779361636829</v>
      </c>
      <c r="E142" s="143">
        <f ca="1">SUM(E140:E141)</f>
        <v>108.9779361636829</v>
      </c>
      <c r="T142"/>
      <c r="U142"/>
      <c r="V142" s="11"/>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row>
    <row r="143" spans="2:60" s="50" customFormat="1">
      <c r="B143" t="s">
        <v>778</v>
      </c>
      <c r="C143" s="6">
        <f ca="1">(C140*SAP!$C$13/SAP!$C$18)+(C141*SAP!$C$13/SAP!$C$19)</f>
        <v>7.6630160976733563</v>
      </c>
      <c r="D143" s="143">
        <f ca="1">C143*'C&amp;B'!$E$13</f>
        <v>383.15080488366783</v>
      </c>
      <c r="E143" s="143">
        <f ca="1">D143*Embodied!$C$25/1000</f>
        <v>38.315080488366782</v>
      </c>
      <c r="T143"/>
      <c r="U143"/>
      <c r="V143" s="11"/>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row>
    <row r="144" spans="2:60" s="50" customFormat="1">
      <c r="B144"/>
      <c r="C144" s="6"/>
      <c r="T144"/>
      <c r="U144"/>
      <c r="V144" s="11"/>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row>
    <row r="145" spans="2:3">
      <c r="B145" s="1" t="s">
        <v>786</v>
      </c>
      <c r="C145" s="164"/>
    </row>
    <row r="146" spans="2:3">
      <c r="B146" t="s">
        <v>787</v>
      </c>
      <c r="C146" s="164"/>
    </row>
    <row r="147" spans="2:3">
      <c r="B147" t="s">
        <v>788</v>
      </c>
      <c r="C147" s="154" t="str">
        <f>IF(AND(C114="Bespoke",ISNUMBER(T121)),"Options Available",IF(SUM(D121:T121)=0,"Not Possible","Options Available"))</f>
        <v>Options Available</v>
      </c>
    </row>
  </sheetData>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03A293355E3641843D1B31EDE6F700" ma:contentTypeVersion="" ma:contentTypeDescription="Create a new document." ma:contentTypeScope="" ma:versionID="dbad6c28d9d44b7116979a12c938348f">
  <xsd:schema xmlns:xsd="http://www.w3.org/2001/XMLSchema" xmlns:xs="http://www.w3.org/2001/XMLSchema" xmlns:p="http://schemas.microsoft.com/office/2006/metadata/properties" targetNamespace="http://schemas.microsoft.com/office/2006/metadata/properties" ma:root="true" ma:fieldsID="fedfc4d332f985d9cd3c8a705040a4e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est Referenc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475780-C8ED-4721-97AA-711D06927F35}">
  <ds:schemaRefs>
    <ds:schemaRef ds:uri="http://schemas.microsoft.com/sharepoint/v3/contenttype/forms"/>
  </ds:schemaRefs>
</ds:datastoreItem>
</file>

<file path=customXml/itemProps2.xml><?xml version="1.0" encoding="utf-8"?>
<ds:datastoreItem xmlns:ds="http://schemas.openxmlformats.org/officeDocument/2006/customXml" ds:itemID="{AAFCF9CF-021E-4F94-9D43-9335D5FEEA85}">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9E2DB7C6-F746-42D8-8376-C05ED5E3D2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vt:lpstr>
      <vt:lpstr>INPUT</vt:lpstr>
      <vt:lpstr>Lists</vt:lpstr>
      <vt:lpstr>Part L</vt:lpstr>
      <vt:lpstr>C&amp;B</vt:lpstr>
      <vt:lpstr>SAP</vt:lpstr>
      <vt:lpstr>Detached</vt:lpstr>
      <vt:lpstr>Attached</vt:lpstr>
      <vt:lpstr>1BedFlat</vt:lpstr>
      <vt:lpstr>2BedFlat</vt:lpstr>
      <vt:lpstr>Embodied</vt:lpstr>
      <vt:lpstr>Projections</vt:lpstr>
      <vt:lpstr>OUTPUT</vt:lpstr>
      <vt:lpstr>Cover!Print_Area</vt:lpstr>
      <vt:lpstr>INPUT!Print_Area</vt:lpstr>
      <vt:lpstr>OUTPUT!Print_Area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Dan Lash</dc:creator>
  <cp:lastModifiedBy>Isabel Cordwell</cp:lastModifiedBy>
  <cp:lastPrinted>2022-09-22T14:55:02Z</cp:lastPrinted>
  <dcterms:created xsi:type="dcterms:W3CDTF">2015-06-05T18:17:20Z</dcterms:created>
  <dcterms:modified xsi:type="dcterms:W3CDTF">2022-09-22T14:55:18Z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0x0101006003A293355E3641843D1B31EDE6F700</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